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250\бухгалтерия\Аркадьевна\БЛАГ,ДОП, для сайту лікарні\2024\"/>
    </mc:Choice>
  </mc:AlternateContent>
  <bookViews>
    <workbookView xWindow="0" yWindow="0" windowWidth="28800" windowHeight="120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6" i="1" l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F1" i="1"/>
</calcChain>
</file>

<file path=xl/sharedStrings.xml><?xml version="1.0" encoding="utf-8"?>
<sst xmlns="http://schemas.openxmlformats.org/spreadsheetml/2006/main" count="543" uniqueCount="332">
  <si>
    <t>Благодійна організація "Благодійний Фонд "МАМАЙ"</t>
  </si>
  <si>
    <t>акт б/н</t>
  </si>
  <si>
    <t>Сонячні панелі SunTarp Hexfold 420W</t>
  </si>
  <si>
    <t>6 шт</t>
  </si>
  <si>
    <t>Брезентове полотно</t>
  </si>
  <si>
    <t>1 шт</t>
  </si>
  <si>
    <t>Подовжувач</t>
  </si>
  <si>
    <t>Фіз. особа</t>
  </si>
  <si>
    <t>акт № 101</t>
  </si>
  <si>
    <t>Зубна щітка</t>
  </si>
  <si>
    <t xml:space="preserve">Зубна паста </t>
  </si>
  <si>
    <t>5 шт</t>
  </si>
  <si>
    <t>Миючий засіб для посуду 1 л</t>
  </si>
  <si>
    <t>2 шт</t>
  </si>
  <si>
    <t>Салфетки вологі</t>
  </si>
  <si>
    <t>7 шт</t>
  </si>
  <si>
    <t>Фартук полієстер одноразовий</t>
  </si>
  <si>
    <t>50 шт</t>
  </si>
  <si>
    <t>Штани медичні</t>
  </si>
  <si>
    <t>Халат медичний</t>
  </si>
  <si>
    <t xml:space="preserve">Штани чоловічі </t>
  </si>
  <si>
    <t>12 шт</t>
  </si>
  <si>
    <t xml:space="preserve">Труси чоловічі </t>
  </si>
  <si>
    <t>34 шт</t>
  </si>
  <si>
    <t>Крісло-коляска</t>
  </si>
  <si>
    <t>КНП "ОБСМП" ХОР</t>
  </si>
  <si>
    <t>видаткова накладна № 9-МОМ</t>
  </si>
  <si>
    <t>Пральний засіб Tino High-Power для автоматичних машин 10 кг</t>
  </si>
  <si>
    <t>100 уп</t>
  </si>
  <si>
    <t>Засоби гігієни (підгузки) для дорослих Holder (розмір M), 30 шт/уп</t>
  </si>
  <si>
    <t>150 уп</t>
  </si>
  <si>
    <t>Засоби гігієни (підгузки) для дорослих Holder (розмір L), 30 шт/уп</t>
  </si>
  <si>
    <t>300 уп</t>
  </si>
  <si>
    <t>Представництво "ПРОДЖЕКТ ХОУП-ЗЕ ПІПЛ-ТУ-ПІПЛ ХЕЛС ФАУНДЕЙШН ІНК." В УКРАЇНІ</t>
  </si>
  <si>
    <t>№ КНЕ-UA-24-Apr-027-108</t>
  </si>
  <si>
    <t>Рідке мило Origami "Лаванда та ромашка", 500 мл</t>
  </si>
  <si>
    <t>Крем-мило ORIGAMI Horeca Молоко та мед, 5 кг HoReCa</t>
  </si>
  <si>
    <t xml:space="preserve">Пральний порошок для машинного та ручного прання SuperBright 10 кг </t>
  </si>
  <si>
    <t>Рідкий засіб для ручного миття посуду Origami Horeca, Об'єм:  5 л / Washing-up liquid для ручного миття посуду</t>
  </si>
  <si>
    <t>Таблетки БЛАНІДАС для дезінфекції 30; 1 кг</t>
  </si>
  <si>
    <t>Мішки д/сміття Paclan Expert Multi Top 60; Кількість в упаковці: 100 шт</t>
  </si>
  <si>
    <t>3 шт</t>
  </si>
  <si>
    <t xml:space="preserve">Папір туал Обухів 65 n/e 8 шт; одношаровий </t>
  </si>
  <si>
    <t>4 уп</t>
  </si>
  <si>
    <t xml:space="preserve">Набір д/прибирання Vileda UltraMax Тип ручки складана Вид: комплект швабра і відро з механічним віджимом </t>
  </si>
  <si>
    <t>з шт</t>
  </si>
  <si>
    <t>Змінний моп Ультрамакс (UltraMax) Вілела, 1 Насадки: підлогонатирач Колір виробника: білий Матеріал насадки: бавовна, поліестер</t>
  </si>
  <si>
    <t>Відро мірне 12 л, колір лазурний; Матеріал: поліпропілен Вид: відро без кришки Форма: кругла Країна-виробник: Україна Об'єм:  12 л Діаметр: 33 см Висота 24.6 см</t>
  </si>
  <si>
    <t>Щітка для чищення унітізів з відкритою чашею Бренд ДіАрт Матеріал: поліпропілен; Модель: WC0100 Колір виробника: білий; Гарантія: 6 міс. Глибина: 15.4 см; Висота: 38 см; Ширина: 15.4 см Тип: йоржик з колбою / Cleaning brush for WC or toiler</t>
  </si>
  <si>
    <t>Рукавички побутові універс. Грив Петрівна (M), латекс, 2 шт.</t>
  </si>
  <si>
    <t>20 уп</t>
  </si>
  <si>
    <t>Рукавички побутові універс. Грив Петрівна (L), латекс, 2 шт.</t>
  </si>
  <si>
    <t>25 уп</t>
  </si>
  <si>
    <t>Рушники Origami Horeca білі Zекл 2 шар 200лист 22*22.5см</t>
  </si>
  <si>
    <t>15 уп</t>
  </si>
  <si>
    <t>Зас. д/чищ. Domestos Атлантична свіжість 1 л</t>
  </si>
  <si>
    <t>4 шт</t>
  </si>
  <si>
    <t>Антисептик для шкіри рук ІМЕКС МАКС, 1000 мл, з дозатором</t>
  </si>
  <si>
    <t>15 шт</t>
  </si>
  <si>
    <t>видаткова накладна № 35-МОМ</t>
  </si>
  <si>
    <t>Ковдра (Blanket)</t>
  </si>
  <si>
    <t>100 шт</t>
  </si>
  <si>
    <t>Кухоний набір (Kachen Set)</t>
  </si>
  <si>
    <t>Матрац (Matrasses)</t>
  </si>
  <si>
    <t>60 шт</t>
  </si>
  <si>
    <t>Комплект зимового одягу дорослий розмір M унісекс (Winter Clother Set Aduit M size unisex)</t>
  </si>
  <si>
    <t>20 шт</t>
  </si>
  <si>
    <t>Комплект зимового одягу дорослий розмір L унісекс (Winter Clother Set Aduit L size unisex)</t>
  </si>
  <si>
    <t>Благодійна організація "Всеукраїнська мережа людей, які живуть з ВІЛ/СНІД"</t>
  </si>
  <si>
    <t>товарно - транспортна накладна № Р2004</t>
  </si>
  <si>
    <t>Експрес-тест для виявлення антитіл 1/2 З лінії STANDART К'ю № 25</t>
  </si>
  <si>
    <t>40 наб</t>
  </si>
  <si>
    <t>Швидка відповідь Експрес - тест ВІЛ 1-2.0 кат. №PI05FRC05</t>
  </si>
  <si>
    <t>28 наб</t>
  </si>
  <si>
    <t>Швидка відповідь Експрес - тест ВІЛ 1-2.0 (Версія 2.0) Kit/набір</t>
  </si>
  <si>
    <t>30 наб</t>
  </si>
  <si>
    <t>Експрес-тест для одночасного виявлення IgG, IgM, IgA антитіл до ВІЛ-1 та ВІЛ-2 № 25, HIV-1/2</t>
  </si>
  <si>
    <t>10 наб</t>
  </si>
  <si>
    <t>Експрес тест для виявлення поверхневого антигену гепатиту В Determine HBsAg 2 (100 тестів), набір</t>
  </si>
  <si>
    <t>3 уп</t>
  </si>
  <si>
    <t>Bioline HCV експрес-тест для виявлення антитіл до вірусу гепатиту С, 25 тестів, набір містить безпечні ланцети 25 шт</t>
  </si>
  <si>
    <t>15 наб</t>
  </si>
  <si>
    <t>4 наб</t>
  </si>
  <si>
    <t>Bioline Сифіліс 3.0 експрес-тест для виявлення анти-ТР сифілісу, 30 тестів</t>
  </si>
  <si>
    <t>2 наб</t>
  </si>
  <si>
    <t>КНП "Чернігівська обласна лікарня" ЧОР</t>
  </si>
  <si>
    <t>видаткова накладна на сторону № 1742</t>
  </si>
  <si>
    <t>МайХеп ОЛЛ по 400мг/100 мг № 28 табл. у флаконі</t>
  </si>
  <si>
    <t>1680 табл</t>
  </si>
  <si>
    <t>КНП "Фтизіопульмонологічний медичний центр" ХОР</t>
  </si>
  <si>
    <t>накладна № 43</t>
  </si>
  <si>
    <t>Ізоніазид, 100мг ПАТ НВЦ "Борщагівський ХФЗ", Україна № 50</t>
  </si>
  <si>
    <t>10 уп</t>
  </si>
  <si>
    <t>накладна № 44</t>
  </si>
  <si>
    <t xml:space="preserve">Експрес-тест Гепатит С </t>
  </si>
  <si>
    <t>Ланцет Medlance plus Extra безпечні Medlance, Польша</t>
  </si>
  <si>
    <t>Серветки марлеві медичні стерильні Кампус Коттон Клаб</t>
  </si>
  <si>
    <t>накладна № 96с</t>
  </si>
  <si>
    <t>Бісептол 480 для приготування розчину для інфузій по 5 мл в ампулі</t>
  </si>
  <si>
    <t>накладна № 102с</t>
  </si>
  <si>
    <t>Тенофовіру Дизопроксилу Фумарат 300мг + Ламівудин 300мг + Долутегравір 50мг, таблетки № 90</t>
  </si>
  <si>
    <t>33 уп</t>
  </si>
  <si>
    <t xml:space="preserve">КНП "ХОЦСК" </t>
  </si>
  <si>
    <t>акт № 104</t>
  </si>
  <si>
    <t>Еритроцити</t>
  </si>
  <si>
    <t>0,273 л</t>
  </si>
  <si>
    <t>акт № 102/1</t>
  </si>
  <si>
    <t>0,263 л</t>
  </si>
  <si>
    <t>Бюро Всесвітньої організації охорони здоров'я (ВООЗ) в Україні</t>
  </si>
  <si>
    <t>видаткова накладна № 8640</t>
  </si>
  <si>
    <t>(KIT CHOLERA CENTRAL)RENEWABLE SUPPLIES (1.2), 1 MODULE / (Комплект холерний базовий) відновлювальні матеріали (1.2), 1 МОДУЛЬ</t>
  </si>
  <si>
    <t>(kit cholera central)MODULE, RENEWABLE SUPPLIES (1.2) / (rомплект холерний базовий)МОДУЛЬ,  ВІДНОВЛЮВАЛЬНІ МАТЕРІАЛИ (1.2)</t>
  </si>
  <si>
    <t>(kit cholera central)MODULE, DRUGS (1.1) / (rомплект холерний базовий)МОДУЛЬ,  медикаменти (1.1)</t>
  </si>
  <si>
    <t>(kit cholera central)MODULE, EQUIPMENT (1.3) / (rомплект холерний базовий)МОДУЛЬ,  ОБЛАДНАННЯ (1.3)</t>
  </si>
  <si>
    <t>(KIT CHOLERA CENTRAL)DRUGS (1.1), 1 MODULE / (Комплект холерний базовий), 1 МОДУЛЬ, медикаменти (1.1)</t>
  </si>
  <si>
    <t>(KIT CHOLERA CENTRAL)EQUIPMENT (1.3), 1 MODULE / (Комплект холерний базовий), 1 МОДУЛЬ, ОБЛАДНАННЯ (1.3)</t>
  </si>
  <si>
    <t xml:space="preserve">Cholera investigation Kit (5) complete / Набір для дослідження холери (5) повний </t>
  </si>
  <si>
    <t>акт № 106</t>
  </si>
  <si>
    <t>Хліб "Сонячний" 500 г</t>
  </si>
  <si>
    <t>акт № 96</t>
  </si>
  <si>
    <t>36 шт</t>
  </si>
  <si>
    <t>акт № 97</t>
  </si>
  <si>
    <t>акт № 100</t>
  </si>
  <si>
    <t>акт № 99</t>
  </si>
  <si>
    <t>55 шт</t>
  </si>
  <si>
    <t>акт № 98</t>
  </si>
  <si>
    <t>"ГО ТАРІЛКА"</t>
  </si>
  <si>
    <t>акт № 105</t>
  </si>
  <si>
    <t>Вівсяні пластівці 500 г</t>
  </si>
  <si>
    <t xml:space="preserve">Масло рослинне 1 л </t>
  </si>
  <si>
    <t>Макарони 500 г</t>
  </si>
  <si>
    <t>Горох 1 кг</t>
  </si>
  <si>
    <t>Гречка 1 кг</t>
  </si>
  <si>
    <t>Цукор 500 г</t>
  </si>
  <si>
    <t>Борошно 5 кг</t>
  </si>
  <si>
    <t>10 шт</t>
  </si>
  <si>
    <t>акт № 103</t>
  </si>
  <si>
    <t>акт № 102</t>
  </si>
  <si>
    <t>30 шт</t>
  </si>
  <si>
    <t>ОКНП "МЕДИЧНИЙ ЦЕНТР"</t>
  </si>
  <si>
    <t>накладна № 32</t>
  </si>
  <si>
    <t>Тест-системи для виявлення гепатиту С (CHV) у складі: - одноступеневий тест на вірус гепатиту С (50 тест-смужек, 50 ланцетів, 50 буферів, 50 піпеток) - 1 шт.; - серветка з нетканого матеріалу - 1 шт.; - серветка медична просочена спиртовим розчином - 1 шт.)</t>
  </si>
  <si>
    <t>200 шт</t>
  </si>
  <si>
    <t>Тест-системи для виявлення гепатиту B (BHsAg) у складі: - одноступеневий ультра тест на поверхневий антиген гепатиту B (50 тест-смужек, 50 ланцетів, 50 буферів, 50 піпеток) - 1 шт.; - серветка з нетканого матеріалу - 1 шт.; - серветка медична просочена спиртовим розчином - 1 шт.)</t>
  </si>
  <si>
    <t xml:space="preserve">КНП "Херсонська обласна дитяча клінічна лікарня" </t>
  </si>
  <si>
    <t>видаткова накладна № 35</t>
  </si>
  <si>
    <t>ДИАЗЕПЕКС 5мг/мл по 2 мл. (діазепам 5мг/мл № 10)</t>
  </si>
  <si>
    <t>20 амп</t>
  </si>
  <si>
    <t>Фіз. Особа</t>
  </si>
  <si>
    <t>акт № 115</t>
  </si>
  <si>
    <t>Швидкий тест для виявлення антитіл до вірусу ВІЛ (колоїдне золото)</t>
  </si>
  <si>
    <t>40 шт</t>
  </si>
  <si>
    <t>Швидкий тест для діагностики гепатиту C</t>
  </si>
  <si>
    <t>Транспортне середовище</t>
  </si>
  <si>
    <t>1 наб</t>
  </si>
  <si>
    <t>Набір екстракції DNA/RNA</t>
  </si>
  <si>
    <t>Набір для ампліфікації SARS-Cov-2</t>
  </si>
  <si>
    <t>Набір для ампліфікації вірусного гепатиту C</t>
  </si>
  <si>
    <t>Набір для ампліфікації вірусного гепатиту B</t>
  </si>
  <si>
    <t>акт № 118</t>
  </si>
  <si>
    <t>Клексан 0,4 мл</t>
  </si>
  <si>
    <t>14 шпр</t>
  </si>
  <si>
    <t>Еноксапарін 0,4 мл</t>
  </si>
  <si>
    <t>10 шпр</t>
  </si>
  <si>
    <t>Фраксіпарин 0,4 мл</t>
  </si>
  <si>
    <t>20 шпр</t>
  </si>
  <si>
    <t>Фраксіпарин 0,6 мл</t>
  </si>
  <si>
    <t>Фраксіпарин 1,0 мл</t>
  </si>
  <si>
    <t>Благодійна організація "Благодійний фонд молодіжної ініціативи "Надія"</t>
  </si>
  <si>
    <t>Судно підкладне (одноразове)</t>
  </si>
  <si>
    <t>1 ящик</t>
  </si>
  <si>
    <t>Lab ssuplies (лабораторне приладдя)</t>
  </si>
  <si>
    <t>Respiratory Anesthesia / Респіраторна Анестезія</t>
  </si>
  <si>
    <t>Gastric (Гастроентерологія)</t>
  </si>
  <si>
    <t>Дихальний контур наркозу</t>
  </si>
  <si>
    <t>Бактеріально-вірусний фільтр</t>
  </si>
  <si>
    <t>Санітайзер для рук 1 л</t>
  </si>
  <si>
    <t>Подушка надувна 23.08.24</t>
  </si>
  <si>
    <t>Фольговані покривала</t>
  </si>
  <si>
    <t>490-14Polyethy lene Glycol 3350 Powder /Полієтиленгліколь 3350 порошок</t>
  </si>
  <si>
    <t>9048-06-YMV Vitamin D3 (12 60 11/2024)</t>
  </si>
  <si>
    <t>5 ящик</t>
  </si>
  <si>
    <t>9078T-09-DF Vitamin C orange flavor (12 90 11/2024)</t>
  </si>
  <si>
    <t>9110-06-YMV Beet Root (12 60 12/2024)</t>
  </si>
  <si>
    <t>Матрас надувний 23.08.24</t>
  </si>
  <si>
    <t>Вологі серветки Amazon elements Baby/Wet Wipes Amazon elements Baby</t>
  </si>
  <si>
    <t>3 ящик</t>
  </si>
  <si>
    <t>БФ "МАНГУСТ"</t>
  </si>
  <si>
    <t>акт № 113/1</t>
  </si>
  <si>
    <t>Халат медичний одноразовий</t>
  </si>
  <si>
    <t>1000 шт</t>
  </si>
  <si>
    <t>Ентеральне харчування Nutricia Nutrison, 1000 мл</t>
  </si>
  <si>
    <t>48 фл</t>
  </si>
  <si>
    <t>КНП Херсонська міська клінічна лікарня ім. А. і О. Тропіних</t>
  </si>
  <si>
    <t>накладна № 464</t>
  </si>
  <si>
    <t>Тест на COVID-19 Abbot Panbio</t>
  </si>
  <si>
    <t>Благодійна організація "Гуманітарний фонд Сергія Притули"</t>
  </si>
  <si>
    <t>акт прийому-передачі благодійної допомоги № 28</t>
  </si>
  <si>
    <t>Ампіцилін, порошок для розчину для ін'єкцій по 0.5 г (Україна)</t>
  </si>
  <si>
    <t>500 фл</t>
  </si>
  <si>
    <t>видаткова накладна № 465</t>
  </si>
  <si>
    <t>Нірматрелвір і ритонавір / NIRMACOM-Nirmatrelvir Tablets 150mg and Ritonavir Tablets USP 100mg Batch E232730, 150mg/100mg, т.п. 31.05.2025, по 30 табл. в упаковці</t>
  </si>
  <si>
    <t>11 уп</t>
  </si>
  <si>
    <t>Молнупіравір / (COVID-19) Molnupiravir, 200 mg Capsule, 40 Biste, Batch MOL23022, 200 mg, т.п. 28.02.2025, по 40 капсул в упаковці</t>
  </si>
  <si>
    <t>95 уп</t>
  </si>
  <si>
    <t>акт № 108</t>
  </si>
  <si>
    <t>Дезинфекційний гель</t>
  </si>
  <si>
    <t>9 фл</t>
  </si>
  <si>
    <t>Гель для рук</t>
  </si>
  <si>
    <t>12 фл</t>
  </si>
  <si>
    <t>Засіб для обробки рук, 5 л</t>
  </si>
  <si>
    <t xml:space="preserve">Гель для рук антибактеріальний </t>
  </si>
  <si>
    <t>95 шт</t>
  </si>
  <si>
    <t>Маска медична</t>
  </si>
  <si>
    <t>Гель для рук з віт. Е та алоє</t>
  </si>
  <si>
    <t>24 шт</t>
  </si>
  <si>
    <t>Покривало хірургічне 75 х 75</t>
  </si>
  <si>
    <t>160 шт</t>
  </si>
  <si>
    <t>Херсонська обласна комунальна аварійно-рятувальна служба для Гуманітарного штабу ХОВА</t>
  </si>
  <si>
    <t>Роутер Huawei b525s-23a 5 g /IT equipment</t>
  </si>
  <si>
    <t>видаткова накладна № 2-ІНД</t>
  </si>
  <si>
    <t>Хумодар Б 100Р, суспензія для ін'єкцій, 100 МО/мл, по 5мл у флаконі, №1, т. пр. 01.03.2027</t>
  </si>
  <si>
    <t>15 фл</t>
  </si>
  <si>
    <t>видаткова накладна № 4 -ВООЗ</t>
  </si>
  <si>
    <t>Crystal VG (dipstick), c.4000030375, т.пр. 14.11.2025 № 10</t>
  </si>
  <si>
    <t>82 уп</t>
  </si>
  <si>
    <t>акт № 107</t>
  </si>
  <si>
    <t>акт № 110</t>
  </si>
  <si>
    <t>акт № 109</t>
  </si>
  <si>
    <t>акт № 111</t>
  </si>
  <si>
    <t>акт № 112</t>
  </si>
  <si>
    <t>Філе курчати</t>
  </si>
  <si>
    <t>30 кг</t>
  </si>
  <si>
    <t>акт № 113</t>
  </si>
  <si>
    <t>120 шт</t>
  </si>
  <si>
    <t>акт № 114</t>
  </si>
  <si>
    <t>акт № 116</t>
  </si>
  <si>
    <t>Дріжжі 1 кг</t>
  </si>
  <si>
    <t>Сіль</t>
  </si>
  <si>
    <t>5 кг</t>
  </si>
  <si>
    <t>акт № 117</t>
  </si>
  <si>
    <t>акт № 130</t>
  </si>
  <si>
    <t>Хліб "Сонячний" 0,5 кг</t>
  </si>
  <si>
    <t>Цибуля</t>
  </si>
  <si>
    <t>360 кг</t>
  </si>
  <si>
    <t>акт № 129</t>
  </si>
  <si>
    <t>80 шт</t>
  </si>
  <si>
    <t>акт № 126</t>
  </si>
  <si>
    <t>акт № 125</t>
  </si>
  <si>
    <t>90 шт</t>
  </si>
  <si>
    <t>акт № 122-1</t>
  </si>
  <si>
    <t>221 кг</t>
  </si>
  <si>
    <t>акт № 124</t>
  </si>
  <si>
    <t>акт № 123</t>
  </si>
  <si>
    <t>Сіль вагова</t>
  </si>
  <si>
    <t>акт № 122</t>
  </si>
  <si>
    <t>акт № 121</t>
  </si>
  <si>
    <t>акт № 120</t>
  </si>
  <si>
    <t>Міжнародний благодійний фонд "Альянс громадського здоров'я"</t>
  </si>
  <si>
    <t>видаткова накладна № 40671</t>
  </si>
  <si>
    <t>ЖУРНАЛ реєстрації взяття крові та результатів досліджень з виявлення серологічних маркерів ВІЛ з використанням швидких тестів</t>
  </si>
  <si>
    <t>300 шт</t>
  </si>
  <si>
    <t>видаткова накладна № 2298</t>
  </si>
  <si>
    <t>МайХеп ОЛЛ по 400мг/100 мг № по 28 табл. у флаконі</t>
  </si>
  <si>
    <t>Одноступ. ультра тест на антиген геп. В (50 тест-смужок, 50 ланцетів, 50 буферів, 50 піпеток) В11-12</t>
  </si>
  <si>
    <t>300 тест</t>
  </si>
  <si>
    <t>Серветка мед. спирт. IGAR 6х3 см № 100</t>
  </si>
  <si>
    <t>Серветки з нетк. матеріалу (25х2)</t>
  </si>
  <si>
    <t>Тест-система для виявл. гепатиту В (HBsAg) у складі</t>
  </si>
  <si>
    <t>Одноступ. тест на геп. С (50 тест-смуж. 50 ланцет. 50 буфер. 50 піпеток) В11-12</t>
  </si>
  <si>
    <t>500 тест</t>
  </si>
  <si>
    <t>Серветка мед. IGAR спирт. 6х3 см уп. № 100</t>
  </si>
  <si>
    <t>Серветки з нетк. матеріалу (уп. 25х2)</t>
  </si>
  <si>
    <t>Тест-система для виявлення гепатиту С (IiCV) у складі</t>
  </si>
  <si>
    <t>накладна № 56</t>
  </si>
  <si>
    <t>Ізоніазид, 100мг ПАТ НВЦ "Борщагівський ХФЗ", Україна</t>
  </si>
  <si>
    <t>КНП "Інфекційна лікарня м. Костянтинівка"</t>
  </si>
  <si>
    <t>накладна № КНП 81</t>
  </si>
  <si>
    <t>Майхеп ALL  400мг/100 мг серія 3189912 31.08.2026</t>
  </si>
  <si>
    <t>420 шт</t>
  </si>
  <si>
    <t>Еритроцити у додатковому розчині</t>
  </si>
  <si>
    <t>0,373 л</t>
  </si>
  <si>
    <t>Громадська Організація "Громадський Рух "Віра, Надія, Любов"</t>
  </si>
  <si>
    <t xml:space="preserve">Самостійний тест на ВІЛ OraQuick HIV Self Test </t>
  </si>
  <si>
    <t>накладна № 118с</t>
  </si>
  <si>
    <t>Трисептол, таб. по 400мг/80мг № 20</t>
  </si>
  <si>
    <t>20 пач</t>
  </si>
  <si>
    <t>накладна № 127с</t>
  </si>
  <si>
    <t>Флуконазол-Дарниця розчин для інфузій 2 мг/мл 100 мл у флаконах</t>
  </si>
  <si>
    <t>50 уп</t>
  </si>
  <si>
    <t>Бісептол 480 амп 5 мл № 10</t>
  </si>
  <si>
    <t>30 уп</t>
  </si>
  <si>
    <t>накладна № 119с</t>
  </si>
  <si>
    <t>Експрес тест для одночасного виявлення IgG, IgM, IgA антитіл до ВІЛ-1 та ВІЛ-2 № 25, HIV-1/2, Bioline 3.0 Tests (сер. 03ADH030CB, 07.01.2025)</t>
  </si>
  <si>
    <t>25 шт</t>
  </si>
  <si>
    <t>Швидка відповідь Експрес-тест ВІЛ 1-2,0 кат. №PI05FRC05 (серія 77B0423S; 31.01.2025)</t>
  </si>
  <si>
    <t>Представництво Міжнародного Медичного Корпусу в Україні</t>
  </si>
  <si>
    <t>видаткова накладна 11643</t>
  </si>
  <si>
    <t>Набір діагн. "Biocore HBV" для кільк. визн. ДНК вір. гепатиту В (ВГВ, HBV) ПЛР РЧ ( 100 р) СМ-HВV405-100</t>
  </si>
  <si>
    <t>Набір діагностичний "Biocore HСV" для виявлення РНК вірусу гепатиту С людини методом ЗТ - ПЛР РЧ ( 100 реакцій) СМ-HCV104-100</t>
  </si>
  <si>
    <t>видаткова накладна 11646</t>
  </si>
  <si>
    <t>Маска для обличчя № 50</t>
  </si>
  <si>
    <t>акт № 119</t>
  </si>
  <si>
    <t>Велпанат 400мг/100 мг № 28</t>
  </si>
  <si>
    <t>6 уп</t>
  </si>
  <si>
    <t>Презервати латексні з лубрикантом, синій/золотий, 53 мм, Виробник ТТК Healthcare Limited</t>
  </si>
  <si>
    <t>2100 шт</t>
  </si>
  <si>
    <t>Персональний лубрикант (на водній основі) 4,5г гель, Виробник Suretex Limited</t>
  </si>
  <si>
    <t>1400 шт</t>
  </si>
  <si>
    <t>БО "Благодійний фонд "Мрія майбутнього"</t>
  </si>
  <si>
    <t>Протепролежневі матраци б/у</t>
  </si>
  <si>
    <t>Компресор б/у</t>
  </si>
  <si>
    <t xml:space="preserve">Подушка </t>
  </si>
  <si>
    <t xml:space="preserve">Піжама </t>
  </si>
  <si>
    <t>акт № 122/1</t>
  </si>
  <si>
    <t>Кровать медична</t>
  </si>
  <si>
    <t>акт № 127</t>
  </si>
  <si>
    <t>Цифровий стетоскоп (дужки)</t>
  </si>
  <si>
    <t>Стетоскоп ЕКГ</t>
  </si>
  <si>
    <t>видаткова накладна № 2581</t>
  </si>
  <si>
    <t>Інформаційна дошка з кріпленнями</t>
  </si>
  <si>
    <t>Благодійна організація "Благодійний фонд Євгена Пивоварова"</t>
  </si>
  <si>
    <t>АКТ приймання-передачі № 1</t>
  </si>
  <si>
    <t>Backub Battery powered AC generator system, Solar, 13.5 k Wh Tesla Powerwall 2</t>
  </si>
  <si>
    <t>Backub power system for Powerwall, Solar, Monitoring features Tesla Powerwall Backub Gateway 2</t>
  </si>
  <si>
    <t xml:space="preserve">Powerwall 2 Accessory Bag Tesla </t>
  </si>
  <si>
    <t>ТОВ "БК "Мегаліт"</t>
  </si>
  <si>
    <t>акт № 1</t>
  </si>
  <si>
    <t>Проведення поточного ремонту найпростішого укриття для колективного захисту населення лікарні</t>
  </si>
  <si>
    <t>1 посл</t>
  </si>
  <si>
    <t>АКТ № б/н додатково до акту № 1</t>
  </si>
  <si>
    <t>Проведення поточного ремонту найпростішого укриття для колективного захисту населення лікарні(акт вартості устаткування)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</si>
</sst>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rgb="FF7030A0"/>
      <name val="Calibri"/>
      <family val="2"/>
      <charset val="204"/>
      <scheme val="minor"/>
    </font>
    <font>
      <i/>
      <sz val="11"/>
      <color rgb="FF7030A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43" fontId="0" fillId="0" borderId="2" xfId="0" applyNumberFormat="1" applyBorder="1"/>
    <xf numFmtId="0" fontId="0" fillId="0" borderId="3" xfId="0" applyBorder="1"/>
    <xf numFmtId="43" fontId="0" fillId="0" borderId="3" xfId="0" applyNumberFormat="1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vertical="center"/>
    </xf>
    <xf numFmtId="43" fontId="0" fillId="0" borderId="3" xfId="0" applyNumberForma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4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 wrapText="1"/>
    </xf>
    <xf numFmtId="43" fontId="2" fillId="0" borderId="3" xfId="0" applyNumberFormat="1" applyFont="1" applyBorder="1" applyAlignment="1">
      <alignment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/>
    </xf>
    <xf numFmtId="14" fontId="3" fillId="0" borderId="4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43" fontId="0" fillId="0" borderId="3" xfId="0" applyNumberFormat="1" applyBorder="1" applyAlignment="1">
      <alignment horizontal="left" vertical="center"/>
    </xf>
    <xf numFmtId="43" fontId="0" fillId="0" borderId="3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43" fontId="0" fillId="0" borderId="4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43" fontId="0" fillId="0" borderId="2" xfId="0" applyNumberForma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43" fontId="0" fillId="0" borderId="3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43" fontId="0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6"/>
  <sheetViews>
    <sheetView tabSelected="1" workbookViewId="0">
      <selection activeCell="D20" sqref="D20"/>
    </sheetView>
  </sheetViews>
  <sheetFormatPr defaultRowHeight="15" x14ac:dyDescent="0.25"/>
  <cols>
    <col min="1" max="2" width="28.140625" customWidth="1"/>
    <col min="3" max="3" width="36.42578125" customWidth="1"/>
    <col min="4" max="4" width="50" customWidth="1"/>
    <col min="5" max="5" width="15.28515625" customWidth="1"/>
    <col min="6" max="6" width="28.140625" customWidth="1"/>
  </cols>
  <sheetData>
    <row r="1" spans="1:6" x14ac:dyDescent="0.25">
      <c r="A1" s="1">
        <v>45485</v>
      </c>
      <c r="B1" s="2" t="s">
        <v>0</v>
      </c>
      <c r="C1" s="3" t="s">
        <v>1</v>
      </c>
      <c r="D1" s="4" t="s">
        <v>2</v>
      </c>
      <c r="E1" s="4" t="s">
        <v>3</v>
      </c>
      <c r="F1" s="5">
        <f>6*12220</f>
        <v>73320</v>
      </c>
    </row>
    <row r="2" spans="1:6" x14ac:dyDescent="0.25">
      <c r="A2" s="3"/>
      <c r="B2" s="2"/>
      <c r="C2" s="3"/>
      <c r="D2" s="6" t="s">
        <v>4</v>
      </c>
      <c r="E2" s="6" t="s">
        <v>5</v>
      </c>
      <c r="F2" s="7">
        <f>1*2037</f>
        <v>2037</v>
      </c>
    </row>
    <row r="3" spans="1:6" x14ac:dyDescent="0.25">
      <c r="A3" s="8"/>
      <c r="B3" s="9"/>
      <c r="C3" s="8"/>
      <c r="D3" s="6" t="s">
        <v>6</v>
      </c>
      <c r="E3" s="6" t="s">
        <v>5</v>
      </c>
      <c r="F3" s="7">
        <f>1*2037</f>
        <v>2037</v>
      </c>
    </row>
    <row r="4" spans="1:6" x14ac:dyDescent="0.25">
      <c r="A4" s="10">
        <v>45488</v>
      </c>
      <c r="B4" s="11" t="s">
        <v>7</v>
      </c>
      <c r="C4" s="11" t="s">
        <v>8</v>
      </c>
      <c r="D4" s="6" t="s">
        <v>9</v>
      </c>
      <c r="E4" s="6" t="s">
        <v>3</v>
      </c>
      <c r="F4" s="7">
        <f>6*15</f>
        <v>90</v>
      </c>
    </row>
    <row r="5" spans="1:6" x14ac:dyDescent="0.25">
      <c r="A5" s="3"/>
      <c r="B5" s="3"/>
      <c r="C5" s="3"/>
      <c r="D5" s="6" t="s">
        <v>10</v>
      </c>
      <c r="E5" s="6" t="s">
        <v>11</v>
      </c>
      <c r="F5" s="7">
        <f>5*50</f>
        <v>250</v>
      </c>
    </row>
    <row r="6" spans="1:6" x14ac:dyDescent="0.25">
      <c r="A6" s="3"/>
      <c r="B6" s="3"/>
      <c r="C6" s="3"/>
      <c r="D6" s="6" t="s">
        <v>12</v>
      </c>
      <c r="E6" s="6" t="s">
        <v>13</v>
      </c>
      <c r="F6" s="7">
        <f>2*28</f>
        <v>56</v>
      </c>
    </row>
    <row r="7" spans="1:6" x14ac:dyDescent="0.25">
      <c r="A7" s="3"/>
      <c r="B7" s="3"/>
      <c r="C7" s="3"/>
      <c r="D7" s="6" t="s">
        <v>14</v>
      </c>
      <c r="E7" s="6" t="s">
        <v>15</v>
      </c>
      <c r="F7" s="7">
        <f>7*22</f>
        <v>154</v>
      </c>
    </row>
    <row r="8" spans="1:6" x14ac:dyDescent="0.25">
      <c r="A8" s="3"/>
      <c r="B8" s="3"/>
      <c r="C8" s="3"/>
      <c r="D8" s="6" t="s">
        <v>16</v>
      </c>
      <c r="E8" s="6" t="s">
        <v>17</v>
      </c>
      <c r="F8" s="7">
        <f>50*12</f>
        <v>600</v>
      </c>
    </row>
    <row r="9" spans="1:6" x14ac:dyDescent="0.25">
      <c r="A9" s="3"/>
      <c r="B9" s="3"/>
      <c r="C9" s="3"/>
      <c r="D9" s="6" t="s">
        <v>18</v>
      </c>
      <c r="E9" s="6" t="s">
        <v>5</v>
      </c>
      <c r="F9" s="7">
        <f>1*120</f>
        <v>120</v>
      </c>
    </row>
    <row r="10" spans="1:6" x14ac:dyDescent="0.25">
      <c r="A10" s="3"/>
      <c r="B10" s="3"/>
      <c r="C10" s="3"/>
      <c r="D10" s="6" t="s">
        <v>19</v>
      </c>
      <c r="E10" s="6" t="s">
        <v>5</v>
      </c>
      <c r="F10" s="7">
        <f>1*75</f>
        <v>75</v>
      </c>
    </row>
    <row r="11" spans="1:6" x14ac:dyDescent="0.25">
      <c r="A11" s="3"/>
      <c r="B11" s="3"/>
      <c r="C11" s="3"/>
      <c r="D11" s="6" t="s">
        <v>20</v>
      </c>
      <c r="E11" s="6" t="s">
        <v>21</v>
      </c>
      <c r="F11" s="7">
        <f>12*200</f>
        <v>2400</v>
      </c>
    </row>
    <row r="12" spans="1:6" x14ac:dyDescent="0.25">
      <c r="A12" s="3"/>
      <c r="B12" s="3"/>
      <c r="C12" s="3"/>
      <c r="D12" s="6" t="s">
        <v>22</v>
      </c>
      <c r="E12" s="6" t="s">
        <v>23</v>
      </c>
      <c r="F12" s="7">
        <f>34*50</f>
        <v>1700</v>
      </c>
    </row>
    <row r="13" spans="1:6" x14ac:dyDescent="0.25">
      <c r="A13" s="8"/>
      <c r="B13" s="8"/>
      <c r="C13" s="8"/>
      <c r="D13" s="6" t="s">
        <v>24</v>
      </c>
      <c r="E13" s="6" t="s">
        <v>13</v>
      </c>
      <c r="F13" s="7">
        <f>2*1500</f>
        <v>3000</v>
      </c>
    </row>
    <row r="14" spans="1:6" ht="30" x14ac:dyDescent="0.25">
      <c r="A14" s="10">
        <v>45481</v>
      </c>
      <c r="B14" s="11" t="s">
        <v>25</v>
      </c>
      <c r="C14" s="11" t="s">
        <v>26</v>
      </c>
      <c r="D14" s="12" t="s">
        <v>27</v>
      </c>
      <c r="E14" s="13" t="s">
        <v>28</v>
      </c>
      <c r="F14" s="14">
        <f>100*322.8</f>
        <v>32280</v>
      </c>
    </row>
    <row r="15" spans="1:6" ht="30" x14ac:dyDescent="0.25">
      <c r="A15" s="3"/>
      <c r="B15" s="3"/>
      <c r="C15" s="3"/>
      <c r="D15" s="12" t="s">
        <v>29</v>
      </c>
      <c r="E15" s="13" t="s">
        <v>30</v>
      </c>
      <c r="F15" s="14">
        <f>150*360</f>
        <v>54000</v>
      </c>
    </row>
    <row r="16" spans="1:6" ht="30" x14ac:dyDescent="0.25">
      <c r="A16" s="8"/>
      <c r="B16" s="8"/>
      <c r="C16" s="8"/>
      <c r="D16" s="12" t="s">
        <v>31</v>
      </c>
      <c r="E16" s="13" t="s">
        <v>32</v>
      </c>
      <c r="F16" s="14">
        <f>300*393.2</f>
        <v>117960</v>
      </c>
    </row>
    <row r="17" spans="1:6" x14ac:dyDescent="0.25">
      <c r="A17" s="10">
        <v>45503</v>
      </c>
      <c r="B17" s="15" t="s">
        <v>33</v>
      </c>
      <c r="C17" s="11" t="s">
        <v>34</v>
      </c>
      <c r="D17" s="12" t="s">
        <v>35</v>
      </c>
      <c r="E17" s="6" t="s">
        <v>11</v>
      </c>
      <c r="F17" s="14">
        <f>5*35.34</f>
        <v>176.70000000000002</v>
      </c>
    </row>
    <row r="18" spans="1:6" ht="30" x14ac:dyDescent="0.25">
      <c r="A18" s="3"/>
      <c r="B18" s="2"/>
      <c r="C18" s="3"/>
      <c r="D18" s="12" t="s">
        <v>36</v>
      </c>
      <c r="E18" s="13" t="s">
        <v>13</v>
      </c>
      <c r="F18" s="13">
        <f>2*116.82</f>
        <v>233.64</v>
      </c>
    </row>
    <row r="19" spans="1:6" ht="30" x14ac:dyDescent="0.25">
      <c r="A19" s="3"/>
      <c r="B19" s="2"/>
      <c r="C19" s="3"/>
      <c r="D19" s="12" t="s">
        <v>37</v>
      </c>
      <c r="E19" s="13" t="s">
        <v>13</v>
      </c>
      <c r="F19" s="13">
        <f>2*579.78</f>
        <v>1159.56</v>
      </c>
    </row>
    <row r="20" spans="1:6" ht="45" x14ac:dyDescent="0.25">
      <c r="A20" s="3"/>
      <c r="B20" s="2"/>
      <c r="C20" s="3"/>
      <c r="D20" s="12" t="s">
        <v>38</v>
      </c>
      <c r="E20" s="13" t="s">
        <v>5</v>
      </c>
      <c r="F20" s="14">
        <f>1*93.6</f>
        <v>93.6</v>
      </c>
    </row>
    <row r="21" spans="1:6" x14ac:dyDescent="0.25">
      <c r="A21" s="3"/>
      <c r="B21" s="2"/>
      <c r="C21" s="3"/>
      <c r="D21" s="12" t="s">
        <v>39</v>
      </c>
      <c r="E21" s="13" t="s">
        <v>13</v>
      </c>
      <c r="F21" s="14">
        <f>2*241.8</f>
        <v>483.6</v>
      </c>
    </row>
    <row r="22" spans="1:6" ht="30" x14ac:dyDescent="0.25">
      <c r="A22" s="3"/>
      <c r="B22" s="2"/>
      <c r="C22" s="3"/>
      <c r="D22" s="12" t="s">
        <v>40</v>
      </c>
      <c r="E22" s="13" t="s">
        <v>41</v>
      </c>
      <c r="F22" s="14">
        <f>3*290.94</f>
        <v>872.81999999999994</v>
      </c>
    </row>
    <row r="23" spans="1:6" x14ac:dyDescent="0.25">
      <c r="A23" s="3"/>
      <c r="B23" s="2"/>
      <c r="C23" s="3"/>
      <c r="D23" s="12" t="s">
        <v>42</v>
      </c>
      <c r="E23" s="13" t="s">
        <v>43</v>
      </c>
      <c r="F23" s="14">
        <f>4*94.08</f>
        <v>376.32</v>
      </c>
    </row>
    <row r="24" spans="1:6" ht="45" x14ac:dyDescent="0.25">
      <c r="A24" s="3"/>
      <c r="B24" s="2"/>
      <c r="C24" s="3"/>
      <c r="D24" s="12" t="s">
        <v>44</v>
      </c>
      <c r="E24" s="13" t="s">
        <v>45</v>
      </c>
      <c r="F24" s="14">
        <f>3*1178.16</f>
        <v>3534.4800000000005</v>
      </c>
    </row>
    <row r="25" spans="1:6" ht="45" x14ac:dyDescent="0.25">
      <c r="A25" s="3"/>
      <c r="B25" s="2"/>
      <c r="C25" s="3"/>
      <c r="D25" s="12" t="s">
        <v>46</v>
      </c>
      <c r="E25" s="13" t="s">
        <v>41</v>
      </c>
      <c r="F25" s="14">
        <f>3*396.6</f>
        <v>1189.8000000000002</v>
      </c>
    </row>
    <row r="26" spans="1:6" ht="60" x14ac:dyDescent="0.25">
      <c r="A26" s="3"/>
      <c r="B26" s="2"/>
      <c r="C26" s="3"/>
      <c r="D26" s="12" t="s">
        <v>47</v>
      </c>
      <c r="E26" s="13" t="s">
        <v>41</v>
      </c>
      <c r="F26" s="14">
        <f>3*98.04</f>
        <v>294.12</v>
      </c>
    </row>
    <row r="27" spans="1:6" ht="75" x14ac:dyDescent="0.25">
      <c r="A27" s="3"/>
      <c r="B27" s="2"/>
      <c r="C27" s="3"/>
      <c r="D27" s="16" t="s">
        <v>48</v>
      </c>
      <c r="E27" s="13" t="s">
        <v>13</v>
      </c>
      <c r="F27" s="14">
        <f>2*51.78</f>
        <v>103.56</v>
      </c>
    </row>
    <row r="28" spans="1:6" ht="30" x14ac:dyDescent="0.25">
      <c r="A28" s="3"/>
      <c r="B28" s="2"/>
      <c r="C28" s="3"/>
      <c r="D28" s="12" t="s">
        <v>49</v>
      </c>
      <c r="E28" s="13" t="s">
        <v>50</v>
      </c>
      <c r="F28" s="14">
        <f>20*21.84</f>
        <v>436.8</v>
      </c>
    </row>
    <row r="29" spans="1:6" ht="30" x14ac:dyDescent="0.25">
      <c r="A29" s="3"/>
      <c r="B29" s="2"/>
      <c r="C29" s="3"/>
      <c r="D29" s="12" t="s">
        <v>51</v>
      </c>
      <c r="E29" s="13" t="s">
        <v>52</v>
      </c>
      <c r="F29" s="14">
        <f>25*21.84</f>
        <v>546</v>
      </c>
    </row>
    <row r="30" spans="1:6" ht="30" x14ac:dyDescent="0.25">
      <c r="A30" s="3"/>
      <c r="B30" s="2"/>
      <c r="C30" s="3"/>
      <c r="D30" s="12" t="s">
        <v>53</v>
      </c>
      <c r="E30" s="13" t="s">
        <v>54</v>
      </c>
      <c r="F30" s="14">
        <f>15*76.92</f>
        <v>1153.8</v>
      </c>
    </row>
    <row r="31" spans="1:6" x14ac:dyDescent="0.25">
      <c r="A31" s="3"/>
      <c r="B31" s="2"/>
      <c r="C31" s="3"/>
      <c r="D31" s="12" t="s">
        <v>55</v>
      </c>
      <c r="E31" s="13" t="s">
        <v>56</v>
      </c>
      <c r="F31" s="14">
        <f>4*108.66</f>
        <v>434.64</v>
      </c>
    </row>
    <row r="32" spans="1:6" ht="30" x14ac:dyDescent="0.25">
      <c r="A32" s="8"/>
      <c r="B32" s="9"/>
      <c r="C32" s="8"/>
      <c r="D32" s="12" t="s">
        <v>57</v>
      </c>
      <c r="E32" s="13" t="s">
        <v>58</v>
      </c>
      <c r="F32" s="14">
        <f>15*80.52</f>
        <v>1207.8</v>
      </c>
    </row>
    <row r="33" spans="1:6" x14ac:dyDescent="0.25">
      <c r="A33" s="10">
        <v>45504</v>
      </c>
      <c r="B33" s="11" t="s">
        <v>25</v>
      </c>
      <c r="C33" s="11" t="s">
        <v>59</v>
      </c>
      <c r="D33" s="6" t="s">
        <v>60</v>
      </c>
      <c r="E33" s="6" t="s">
        <v>61</v>
      </c>
      <c r="F33" s="7">
        <f>100*201.376</f>
        <v>20137.600000000002</v>
      </c>
    </row>
    <row r="34" spans="1:6" x14ac:dyDescent="0.25">
      <c r="A34" s="3"/>
      <c r="B34" s="3"/>
      <c r="C34" s="3"/>
      <c r="D34" s="6" t="s">
        <v>62</v>
      </c>
      <c r="E34" s="6" t="s">
        <v>17</v>
      </c>
      <c r="F34" s="7">
        <f>50*793.324</f>
        <v>39666.199999999997</v>
      </c>
    </row>
    <row r="35" spans="1:6" x14ac:dyDescent="0.25">
      <c r="A35" s="3"/>
      <c r="B35" s="3"/>
      <c r="C35" s="3"/>
      <c r="D35" s="6" t="s">
        <v>63</v>
      </c>
      <c r="E35" s="6" t="s">
        <v>64</v>
      </c>
      <c r="F35" s="7">
        <f>60*766.528</f>
        <v>45991.68</v>
      </c>
    </row>
    <row r="36" spans="1:6" ht="30" x14ac:dyDescent="0.25">
      <c r="A36" s="3"/>
      <c r="B36" s="3"/>
      <c r="C36" s="3"/>
      <c r="D36" s="12" t="s">
        <v>65</v>
      </c>
      <c r="E36" s="13" t="s">
        <v>66</v>
      </c>
      <c r="F36" s="14">
        <f>20*980.084</f>
        <v>19601.68</v>
      </c>
    </row>
    <row r="37" spans="1:6" ht="30" x14ac:dyDescent="0.25">
      <c r="A37" s="8"/>
      <c r="B37" s="8"/>
      <c r="C37" s="8"/>
      <c r="D37" s="12" t="s">
        <v>67</v>
      </c>
      <c r="E37" s="13" t="s">
        <v>66</v>
      </c>
      <c r="F37" s="14">
        <f>20*980.084</f>
        <v>19601.68</v>
      </c>
    </row>
    <row r="38" spans="1:6" ht="30" x14ac:dyDescent="0.25">
      <c r="A38" s="10">
        <v>45489</v>
      </c>
      <c r="B38" s="15" t="s">
        <v>68</v>
      </c>
      <c r="C38" s="15" t="s">
        <v>69</v>
      </c>
      <c r="D38" s="12" t="s">
        <v>70</v>
      </c>
      <c r="E38" s="13" t="s">
        <v>71</v>
      </c>
      <c r="F38" s="14">
        <f>40*755.50875</f>
        <v>30220.35</v>
      </c>
    </row>
    <row r="39" spans="1:6" ht="30" x14ac:dyDescent="0.25">
      <c r="A39" s="3"/>
      <c r="B39" s="2"/>
      <c r="C39" s="2"/>
      <c r="D39" s="12" t="s">
        <v>72</v>
      </c>
      <c r="E39" s="13" t="s">
        <v>73</v>
      </c>
      <c r="F39" s="14">
        <f>28*202.021428571</f>
        <v>5656.5999999880005</v>
      </c>
    </row>
    <row r="40" spans="1:6" ht="30" x14ac:dyDescent="0.25">
      <c r="A40" s="3"/>
      <c r="B40" s="2"/>
      <c r="C40" s="2"/>
      <c r="D40" s="12" t="s">
        <v>74</v>
      </c>
      <c r="E40" s="13" t="s">
        <v>75</v>
      </c>
      <c r="F40" s="14">
        <f>30*208.003</f>
        <v>6240.0899999999992</v>
      </c>
    </row>
    <row r="41" spans="1:6" ht="30" x14ac:dyDescent="0.25">
      <c r="A41" s="3"/>
      <c r="B41" s="2"/>
      <c r="C41" s="2"/>
      <c r="D41" s="12" t="s">
        <v>76</v>
      </c>
      <c r="E41" s="13" t="s">
        <v>77</v>
      </c>
      <c r="F41" s="14">
        <f>10*780.714</f>
        <v>7807.14</v>
      </c>
    </row>
    <row r="42" spans="1:6" ht="41.25" customHeight="1" x14ac:dyDescent="0.25">
      <c r="A42" s="3"/>
      <c r="B42" s="2"/>
      <c r="C42" s="2"/>
      <c r="D42" s="17" t="s">
        <v>78</v>
      </c>
      <c r="E42" s="13" t="s">
        <v>79</v>
      </c>
      <c r="F42" s="14">
        <f>3*3381.36333333</f>
        <v>10144.089999989999</v>
      </c>
    </row>
    <row r="43" spans="1:6" ht="47.25" customHeight="1" x14ac:dyDescent="0.25">
      <c r="A43" s="3"/>
      <c r="B43" s="2"/>
      <c r="C43" s="2"/>
      <c r="D43" s="12" t="s">
        <v>80</v>
      </c>
      <c r="E43" s="13" t="s">
        <v>81</v>
      </c>
      <c r="F43" s="14">
        <f>15*1197.61533333</f>
        <v>17964.229999950003</v>
      </c>
    </row>
    <row r="44" spans="1:6" ht="49.5" customHeight="1" x14ac:dyDescent="0.25">
      <c r="A44" s="3"/>
      <c r="B44" s="2"/>
      <c r="C44" s="2"/>
      <c r="D44" s="12" t="s">
        <v>80</v>
      </c>
      <c r="E44" s="13" t="s">
        <v>82</v>
      </c>
      <c r="F44" s="14">
        <f>4*1135.9225</f>
        <v>4543.6899999999996</v>
      </c>
    </row>
    <row r="45" spans="1:6" ht="41.25" customHeight="1" x14ac:dyDescent="0.25">
      <c r="A45" s="8"/>
      <c r="B45" s="9"/>
      <c r="C45" s="9"/>
      <c r="D45" s="12" t="s">
        <v>83</v>
      </c>
      <c r="E45" s="13" t="s">
        <v>84</v>
      </c>
      <c r="F45" s="13">
        <f>2*718.57</f>
        <v>1437.14</v>
      </c>
    </row>
    <row r="46" spans="1:6" ht="30" x14ac:dyDescent="0.25">
      <c r="A46" s="18">
        <v>45492</v>
      </c>
      <c r="B46" s="19" t="s">
        <v>85</v>
      </c>
      <c r="C46" s="19" t="s">
        <v>86</v>
      </c>
      <c r="D46" s="20" t="s">
        <v>87</v>
      </c>
      <c r="E46" s="20" t="s">
        <v>88</v>
      </c>
      <c r="F46" s="21">
        <f>1680*63.25</f>
        <v>106260</v>
      </c>
    </row>
    <row r="47" spans="1:6" ht="45" x14ac:dyDescent="0.25">
      <c r="A47" s="18">
        <v>45476</v>
      </c>
      <c r="B47" s="22" t="s">
        <v>89</v>
      </c>
      <c r="C47" s="23" t="s">
        <v>90</v>
      </c>
      <c r="D47" s="24" t="s">
        <v>91</v>
      </c>
      <c r="E47" s="20" t="s">
        <v>92</v>
      </c>
      <c r="F47" s="25">
        <f>10*14.53</f>
        <v>145.29999999999998</v>
      </c>
    </row>
    <row r="48" spans="1:6" x14ac:dyDescent="0.25">
      <c r="A48" s="10">
        <v>45482</v>
      </c>
      <c r="B48" s="15" t="s">
        <v>89</v>
      </c>
      <c r="C48" s="11" t="s">
        <v>93</v>
      </c>
      <c r="D48" s="6" t="s">
        <v>94</v>
      </c>
      <c r="E48" s="6" t="s">
        <v>64</v>
      </c>
      <c r="F48" s="7">
        <f>60*34.1948</f>
        <v>2051.6880000000001</v>
      </c>
    </row>
    <row r="49" spans="1:6" ht="30" x14ac:dyDescent="0.25">
      <c r="A49" s="3"/>
      <c r="B49" s="2"/>
      <c r="C49" s="3"/>
      <c r="D49" s="12" t="s">
        <v>95</v>
      </c>
      <c r="E49" s="13" t="s">
        <v>64</v>
      </c>
      <c r="F49" s="14">
        <f>60*3.58</f>
        <v>214.8</v>
      </c>
    </row>
    <row r="50" spans="1:6" ht="30" x14ac:dyDescent="0.25">
      <c r="A50" s="8"/>
      <c r="B50" s="9"/>
      <c r="C50" s="8"/>
      <c r="D50" s="12" t="s">
        <v>96</v>
      </c>
      <c r="E50" s="13" t="s">
        <v>64</v>
      </c>
      <c r="F50" s="14">
        <f>60*1.7446</f>
        <v>104.676</v>
      </c>
    </row>
    <row r="51" spans="1:6" ht="45" x14ac:dyDescent="0.25">
      <c r="A51" s="26">
        <v>45476</v>
      </c>
      <c r="B51" s="27" t="s">
        <v>89</v>
      </c>
      <c r="C51" s="28" t="s">
        <v>97</v>
      </c>
      <c r="D51" s="17" t="s">
        <v>98</v>
      </c>
      <c r="E51" s="13" t="s">
        <v>50</v>
      </c>
      <c r="F51" s="14">
        <f>20*186.729</f>
        <v>3734.5800000000004</v>
      </c>
    </row>
    <row r="52" spans="1:6" ht="45" x14ac:dyDescent="0.25">
      <c r="A52" s="26">
        <v>45499</v>
      </c>
      <c r="B52" s="29" t="s">
        <v>89</v>
      </c>
      <c r="C52" s="28" t="s">
        <v>99</v>
      </c>
      <c r="D52" s="12" t="s">
        <v>100</v>
      </c>
      <c r="E52" s="13" t="s">
        <v>101</v>
      </c>
      <c r="F52" s="14">
        <f>33*353.9842</f>
        <v>11681.4786</v>
      </c>
    </row>
    <row r="53" spans="1:6" x14ac:dyDescent="0.25">
      <c r="A53" s="26">
        <v>45496</v>
      </c>
      <c r="B53" s="28" t="s">
        <v>102</v>
      </c>
      <c r="C53" s="28" t="s">
        <v>103</v>
      </c>
      <c r="D53" s="6" t="s">
        <v>104</v>
      </c>
      <c r="E53" s="6" t="s">
        <v>105</v>
      </c>
      <c r="F53" s="7">
        <f>0.273*846</f>
        <v>230.95800000000003</v>
      </c>
    </row>
    <row r="54" spans="1:6" x14ac:dyDescent="0.25">
      <c r="A54" s="26">
        <v>45491</v>
      </c>
      <c r="B54" s="28" t="s">
        <v>102</v>
      </c>
      <c r="C54" s="28" t="s">
        <v>106</v>
      </c>
      <c r="D54" s="6" t="s">
        <v>104</v>
      </c>
      <c r="E54" s="6" t="s">
        <v>107</v>
      </c>
      <c r="F54" s="7">
        <f>0.263*846</f>
        <v>222.49800000000002</v>
      </c>
    </row>
    <row r="55" spans="1:6" ht="45" x14ac:dyDescent="0.25">
      <c r="A55" s="10">
        <v>45477</v>
      </c>
      <c r="B55" s="15" t="s">
        <v>108</v>
      </c>
      <c r="C55" s="11" t="s">
        <v>109</v>
      </c>
      <c r="D55" s="12" t="s">
        <v>110</v>
      </c>
      <c r="E55" s="13" t="s">
        <v>5</v>
      </c>
      <c r="F55" s="14">
        <f>1*30306.33</f>
        <v>30306.33</v>
      </c>
    </row>
    <row r="56" spans="1:6" ht="45" x14ac:dyDescent="0.25">
      <c r="A56" s="3"/>
      <c r="B56" s="2"/>
      <c r="C56" s="3"/>
      <c r="D56" s="12" t="s">
        <v>111</v>
      </c>
      <c r="E56" s="13" t="s">
        <v>5</v>
      </c>
      <c r="F56" s="14">
        <v>23630.05</v>
      </c>
    </row>
    <row r="57" spans="1:6" ht="30" x14ac:dyDescent="0.25">
      <c r="A57" s="3"/>
      <c r="B57" s="2"/>
      <c r="C57" s="3"/>
      <c r="D57" s="17" t="s">
        <v>112</v>
      </c>
      <c r="E57" s="13" t="s">
        <v>13</v>
      </c>
      <c r="F57" s="14">
        <f>2*38073</f>
        <v>76146</v>
      </c>
    </row>
    <row r="58" spans="1:6" ht="45" x14ac:dyDescent="0.25">
      <c r="A58" s="3"/>
      <c r="B58" s="2"/>
      <c r="C58" s="3"/>
      <c r="D58" s="17" t="s">
        <v>113</v>
      </c>
      <c r="E58" s="13" t="s">
        <v>5</v>
      </c>
      <c r="F58" s="14">
        <f>1*8948.45</f>
        <v>8948.4500000000007</v>
      </c>
    </row>
    <row r="59" spans="1:6" ht="45" x14ac:dyDescent="0.25">
      <c r="A59" s="3"/>
      <c r="B59" s="2"/>
      <c r="C59" s="3"/>
      <c r="D59" s="12" t="s">
        <v>114</v>
      </c>
      <c r="E59" s="13" t="s">
        <v>5</v>
      </c>
      <c r="F59" s="14">
        <f>1*61614.25</f>
        <v>61614.25</v>
      </c>
    </row>
    <row r="60" spans="1:6" ht="45" x14ac:dyDescent="0.25">
      <c r="A60" s="3"/>
      <c r="B60" s="2"/>
      <c r="C60" s="3"/>
      <c r="D60" s="12" t="s">
        <v>115</v>
      </c>
      <c r="E60" s="13" t="s">
        <v>5</v>
      </c>
      <c r="F60" s="14">
        <f>6438.74</f>
        <v>6438.74</v>
      </c>
    </row>
    <row r="61" spans="1:6" ht="30" x14ac:dyDescent="0.25">
      <c r="A61" s="8"/>
      <c r="B61" s="9"/>
      <c r="C61" s="8"/>
      <c r="D61" s="12" t="s">
        <v>116</v>
      </c>
      <c r="E61" s="13" t="s">
        <v>5</v>
      </c>
      <c r="F61" s="14">
        <f>1*21437.43</f>
        <v>21437.43</v>
      </c>
    </row>
    <row r="62" spans="1:6" x14ac:dyDescent="0.25">
      <c r="A62" s="30">
        <v>45498</v>
      </c>
      <c r="B62" s="28" t="s">
        <v>7</v>
      </c>
      <c r="C62" s="28" t="s">
        <v>117</v>
      </c>
      <c r="D62" s="6" t="s">
        <v>118</v>
      </c>
      <c r="E62" s="6" t="s">
        <v>64</v>
      </c>
      <c r="F62" s="7">
        <f>60*15</f>
        <v>900</v>
      </c>
    </row>
    <row r="63" spans="1:6" x14ac:dyDescent="0.25">
      <c r="A63" s="30">
        <v>45474</v>
      </c>
      <c r="B63" s="28" t="s">
        <v>7</v>
      </c>
      <c r="C63" s="28" t="s">
        <v>119</v>
      </c>
      <c r="D63" s="6" t="s">
        <v>118</v>
      </c>
      <c r="E63" s="6" t="s">
        <v>120</v>
      </c>
      <c r="F63" s="7">
        <f>36*15</f>
        <v>540</v>
      </c>
    </row>
    <row r="64" spans="1:6" x14ac:dyDescent="0.25">
      <c r="A64" s="30">
        <v>45477</v>
      </c>
      <c r="B64" s="28" t="s">
        <v>7</v>
      </c>
      <c r="C64" s="28" t="s">
        <v>121</v>
      </c>
      <c r="D64" s="6" t="s">
        <v>118</v>
      </c>
      <c r="E64" s="6" t="s">
        <v>120</v>
      </c>
      <c r="F64" s="7">
        <f>36*15</f>
        <v>540</v>
      </c>
    </row>
    <row r="65" spans="1:6" x14ac:dyDescent="0.25">
      <c r="A65" s="30">
        <v>45488</v>
      </c>
      <c r="B65" s="28" t="s">
        <v>7</v>
      </c>
      <c r="C65" s="28" t="s">
        <v>122</v>
      </c>
      <c r="D65" s="6" t="s">
        <v>118</v>
      </c>
      <c r="E65" s="6" t="s">
        <v>120</v>
      </c>
      <c r="F65" s="7">
        <f>36*15</f>
        <v>540</v>
      </c>
    </row>
    <row r="66" spans="1:6" x14ac:dyDescent="0.25">
      <c r="A66" s="30">
        <v>45484</v>
      </c>
      <c r="B66" s="28" t="s">
        <v>7</v>
      </c>
      <c r="C66" s="28" t="s">
        <v>123</v>
      </c>
      <c r="D66" s="6" t="s">
        <v>118</v>
      </c>
      <c r="E66" s="6" t="s">
        <v>124</v>
      </c>
      <c r="F66" s="7">
        <f>55*15</f>
        <v>825</v>
      </c>
    </row>
    <row r="67" spans="1:6" x14ac:dyDescent="0.25">
      <c r="A67" s="30">
        <v>45481</v>
      </c>
      <c r="B67" s="28" t="s">
        <v>7</v>
      </c>
      <c r="C67" s="28" t="s">
        <v>125</v>
      </c>
      <c r="D67" s="6" t="s">
        <v>118</v>
      </c>
      <c r="E67" s="6" t="s">
        <v>120</v>
      </c>
      <c r="F67" s="7">
        <f>36*15</f>
        <v>540</v>
      </c>
    </row>
    <row r="68" spans="1:6" x14ac:dyDescent="0.25">
      <c r="A68" s="31">
        <v>45496</v>
      </c>
      <c r="B68" s="11" t="s">
        <v>126</v>
      </c>
      <c r="C68" s="11" t="s">
        <v>127</v>
      </c>
      <c r="D68" s="6" t="s">
        <v>128</v>
      </c>
      <c r="E68" s="6" t="s">
        <v>17</v>
      </c>
      <c r="F68" s="7">
        <f>50*15.1</f>
        <v>755</v>
      </c>
    </row>
    <row r="69" spans="1:6" x14ac:dyDescent="0.25">
      <c r="A69" s="32"/>
      <c r="B69" s="3"/>
      <c r="C69" s="3"/>
      <c r="D69" s="6" t="s">
        <v>129</v>
      </c>
      <c r="E69" s="6" t="s">
        <v>17</v>
      </c>
      <c r="F69" s="7">
        <f>50*65</f>
        <v>3250</v>
      </c>
    </row>
    <row r="70" spans="1:6" x14ac:dyDescent="0.25">
      <c r="A70" s="32"/>
      <c r="B70" s="3"/>
      <c r="C70" s="3"/>
      <c r="D70" s="6" t="s">
        <v>130</v>
      </c>
      <c r="E70" s="6" t="s">
        <v>61</v>
      </c>
      <c r="F70" s="7">
        <f>100*10.55</f>
        <v>1055</v>
      </c>
    </row>
    <row r="71" spans="1:6" x14ac:dyDescent="0.25">
      <c r="A71" s="32"/>
      <c r="B71" s="3"/>
      <c r="C71" s="3"/>
      <c r="D71" s="6" t="s">
        <v>131</v>
      </c>
      <c r="E71" s="6" t="s">
        <v>17</v>
      </c>
      <c r="F71" s="7">
        <f>50*20</f>
        <v>1000</v>
      </c>
    </row>
    <row r="72" spans="1:6" x14ac:dyDescent="0.25">
      <c r="A72" s="32"/>
      <c r="B72" s="3"/>
      <c r="C72" s="3"/>
      <c r="D72" s="6" t="s">
        <v>132</v>
      </c>
      <c r="E72" s="6" t="s">
        <v>17</v>
      </c>
      <c r="F72" s="7">
        <f>50*41</f>
        <v>2050</v>
      </c>
    </row>
    <row r="73" spans="1:6" x14ac:dyDescent="0.25">
      <c r="A73" s="32"/>
      <c r="B73" s="3"/>
      <c r="C73" s="3"/>
      <c r="D73" s="6" t="s">
        <v>133</v>
      </c>
      <c r="E73" s="6" t="s">
        <v>17</v>
      </c>
      <c r="F73" s="7">
        <f>50*15</f>
        <v>750</v>
      </c>
    </row>
    <row r="74" spans="1:6" x14ac:dyDescent="0.25">
      <c r="A74" s="33"/>
      <c r="B74" s="8"/>
      <c r="C74" s="8"/>
      <c r="D74" s="6" t="s">
        <v>134</v>
      </c>
      <c r="E74" s="6" t="s">
        <v>135</v>
      </c>
      <c r="F74" s="7">
        <f>10*74</f>
        <v>740</v>
      </c>
    </row>
    <row r="75" spans="1:6" x14ac:dyDescent="0.25">
      <c r="A75" s="30">
        <v>45495</v>
      </c>
      <c r="B75" s="28" t="s">
        <v>7</v>
      </c>
      <c r="C75" s="28" t="s">
        <v>136</v>
      </c>
      <c r="D75" s="6" t="s">
        <v>118</v>
      </c>
      <c r="E75" s="6" t="s">
        <v>120</v>
      </c>
      <c r="F75" s="7">
        <f>36*15</f>
        <v>540</v>
      </c>
    </row>
    <row r="76" spans="1:6" ht="15.75" thickBot="1" x14ac:dyDescent="0.3">
      <c r="A76" s="30">
        <v>45491</v>
      </c>
      <c r="B76" s="28" t="s">
        <v>7</v>
      </c>
      <c r="C76" s="28" t="s">
        <v>137</v>
      </c>
      <c r="D76" s="6" t="s">
        <v>118</v>
      </c>
      <c r="E76" s="6" t="s">
        <v>138</v>
      </c>
      <c r="F76" s="7">
        <f>30*15</f>
        <v>450</v>
      </c>
    </row>
    <row r="77" spans="1:6" ht="90" x14ac:dyDescent="0.25">
      <c r="A77" s="34">
        <v>45532</v>
      </c>
      <c r="B77" s="35" t="s">
        <v>139</v>
      </c>
      <c r="C77" s="35" t="s">
        <v>140</v>
      </c>
      <c r="D77" s="36" t="s">
        <v>141</v>
      </c>
      <c r="E77" s="37" t="s">
        <v>142</v>
      </c>
      <c r="F77" s="21">
        <f>200*11</f>
        <v>2200</v>
      </c>
    </row>
    <row r="78" spans="1:6" ht="90" x14ac:dyDescent="0.25">
      <c r="A78" s="38"/>
      <c r="B78" s="38"/>
      <c r="C78" s="38"/>
      <c r="D78" s="36" t="s">
        <v>143</v>
      </c>
      <c r="E78" s="37" t="s">
        <v>142</v>
      </c>
      <c r="F78" s="21">
        <f>200*10.5</f>
        <v>2100</v>
      </c>
    </row>
    <row r="79" spans="1:6" ht="30" x14ac:dyDescent="0.25">
      <c r="A79" s="18">
        <v>45531</v>
      </c>
      <c r="B79" s="19" t="s">
        <v>144</v>
      </c>
      <c r="C79" s="19" t="s">
        <v>145</v>
      </c>
      <c r="D79" s="37" t="s">
        <v>146</v>
      </c>
      <c r="E79" s="37" t="s">
        <v>147</v>
      </c>
      <c r="F79" s="21">
        <f>20*27.7</f>
        <v>554</v>
      </c>
    </row>
    <row r="80" spans="1:6" ht="30" x14ac:dyDescent="0.25">
      <c r="A80" s="10">
        <v>45527</v>
      </c>
      <c r="B80" s="11" t="s">
        <v>148</v>
      </c>
      <c r="C80" s="11" t="s">
        <v>149</v>
      </c>
      <c r="D80" s="12" t="s">
        <v>150</v>
      </c>
      <c r="E80" s="13" t="s">
        <v>151</v>
      </c>
      <c r="F80" s="14">
        <f>40*15</f>
        <v>600</v>
      </c>
    </row>
    <row r="81" spans="1:6" x14ac:dyDescent="0.25">
      <c r="A81" s="3"/>
      <c r="B81" s="3"/>
      <c r="C81" s="3"/>
      <c r="D81" s="12" t="s">
        <v>152</v>
      </c>
      <c r="E81" s="13" t="s">
        <v>151</v>
      </c>
      <c r="F81" s="14">
        <f>40*10</f>
        <v>400</v>
      </c>
    </row>
    <row r="82" spans="1:6" x14ac:dyDescent="0.25">
      <c r="A82" s="3"/>
      <c r="B82" s="3"/>
      <c r="C82" s="3"/>
      <c r="D82" s="12" t="s">
        <v>153</v>
      </c>
      <c r="E82" s="13" t="s">
        <v>154</v>
      </c>
      <c r="F82" s="14">
        <f>1*900</f>
        <v>900</v>
      </c>
    </row>
    <row r="83" spans="1:6" x14ac:dyDescent="0.25">
      <c r="A83" s="3"/>
      <c r="B83" s="3"/>
      <c r="C83" s="3"/>
      <c r="D83" s="12" t="s">
        <v>155</v>
      </c>
      <c r="E83" s="13" t="s">
        <v>84</v>
      </c>
      <c r="F83" s="14">
        <f>2*2700</f>
        <v>5400</v>
      </c>
    </row>
    <row r="84" spans="1:6" x14ac:dyDescent="0.25">
      <c r="A84" s="3"/>
      <c r="B84" s="3"/>
      <c r="C84" s="3"/>
      <c r="D84" s="12" t="s">
        <v>156</v>
      </c>
      <c r="E84" s="13" t="s">
        <v>84</v>
      </c>
      <c r="F84" s="14">
        <f>2*6000</f>
        <v>12000</v>
      </c>
    </row>
    <row r="85" spans="1:6" x14ac:dyDescent="0.25">
      <c r="A85" s="3"/>
      <c r="B85" s="3"/>
      <c r="C85" s="3"/>
      <c r="D85" s="12" t="s">
        <v>157</v>
      </c>
      <c r="E85" s="13" t="s">
        <v>84</v>
      </c>
      <c r="F85" s="14">
        <f>2*4000</f>
        <v>8000</v>
      </c>
    </row>
    <row r="86" spans="1:6" x14ac:dyDescent="0.25">
      <c r="A86" s="8"/>
      <c r="B86" s="8"/>
      <c r="C86" s="8"/>
      <c r="D86" s="12" t="s">
        <v>158</v>
      </c>
      <c r="E86" s="13" t="s">
        <v>154</v>
      </c>
      <c r="F86" s="14">
        <f>1*6000</f>
        <v>6000</v>
      </c>
    </row>
    <row r="87" spans="1:6" x14ac:dyDescent="0.25">
      <c r="A87" s="10">
        <v>45533</v>
      </c>
      <c r="B87" s="11" t="s">
        <v>7</v>
      </c>
      <c r="C87" s="11" t="s">
        <v>159</v>
      </c>
      <c r="D87" s="6" t="s">
        <v>160</v>
      </c>
      <c r="E87" s="6" t="s">
        <v>161</v>
      </c>
      <c r="F87" s="7">
        <f>14*150</f>
        <v>2100</v>
      </c>
    </row>
    <row r="88" spans="1:6" x14ac:dyDescent="0.25">
      <c r="A88" s="3"/>
      <c r="B88" s="3"/>
      <c r="C88" s="3"/>
      <c r="D88" s="6" t="s">
        <v>162</v>
      </c>
      <c r="E88" s="6" t="s">
        <v>163</v>
      </c>
      <c r="F88" s="7">
        <f>10*110</f>
        <v>1100</v>
      </c>
    </row>
    <row r="89" spans="1:6" x14ac:dyDescent="0.25">
      <c r="A89" s="3"/>
      <c r="B89" s="3"/>
      <c r="C89" s="3"/>
      <c r="D89" s="6" t="s">
        <v>164</v>
      </c>
      <c r="E89" s="6" t="s">
        <v>165</v>
      </c>
      <c r="F89" s="7">
        <f>20*140</f>
        <v>2800</v>
      </c>
    </row>
    <row r="90" spans="1:6" x14ac:dyDescent="0.25">
      <c r="A90" s="3"/>
      <c r="B90" s="3"/>
      <c r="C90" s="3"/>
      <c r="D90" s="6" t="s">
        <v>166</v>
      </c>
      <c r="E90" s="6" t="s">
        <v>165</v>
      </c>
      <c r="F90" s="7">
        <f>20*170</f>
        <v>3400</v>
      </c>
    </row>
    <row r="91" spans="1:6" x14ac:dyDescent="0.25">
      <c r="A91" s="8"/>
      <c r="B91" s="8"/>
      <c r="C91" s="8"/>
      <c r="D91" s="6" t="s">
        <v>167</v>
      </c>
      <c r="E91" s="6" t="s">
        <v>163</v>
      </c>
      <c r="F91" s="7">
        <f>10*200</f>
        <v>2000</v>
      </c>
    </row>
    <row r="92" spans="1:6" x14ac:dyDescent="0.25">
      <c r="A92" s="10">
        <v>45533</v>
      </c>
      <c r="B92" s="15" t="s">
        <v>168</v>
      </c>
      <c r="C92" s="11" t="s">
        <v>1</v>
      </c>
      <c r="D92" s="17" t="s">
        <v>169</v>
      </c>
      <c r="E92" s="13" t="s">
        <v>170</v>
      </c>
      <c r="F92" s="14">
        <f>1*108</f>
        <v>108</v>
      </c>
    </row>
    <row r="93" spans="1:6" x14ac:dyDescent="0.25">
      <c r="A93" s="3"/>
      <c r="B93" s="2"/>
      <c r="C93" s="3"/>
      <c r="D93" s="17" t="s">
        <v>171</v>
      </c>
      <c r="E93" s="13" t="s">
        <v>170</v>
      </c>
      <c r="F93" s="14">
        <f>1*38</f>
        <v>38</v>
      </c>
    </row>
    <row r="94" spans="1:6" x14ac:dyDescent="0.25">
      <c r="A94" s="3"/>
      <c r="B94" s="2"/>
      <c r="C94" s="3"/>
      <c r="D94" s="17" t="s">
        <v>172</v>
      </c>
      <c r="E94" s="13" t="s">
        <v>170</v>
      </c>
      <c r="F94" s="14">
        <f>1*38</f>
        <v>38</v>
      </c>
    </row>
    <row r="95" spans="1:6" x14ac:dyDescent="0.25">
      <c r="A95" s="3"/>
      <c r="B95" s="2"/>
      <c r="C95" s="3"/>
      <c r="D95" s="17" t="s">
        <v>173</v>
      </c>
      <c r="E95" s="13" t="s">
        <v>170</v>
      </c>
      <c r="F95" s="14">
        <f>1*38</f>
        <v>38</v>
      </c>
    </row>
    <row r="96" spans="1:6" x14ac:dyDescent="0.25">
      <c r="A96" s="3"/>
      <c r="B96" s="2"/>
      <c r="C96" s="3"/>
      <c r="D96" s="17" t="s">
        <v>174</v>
      </c>
      <c r="E96" s="13" t="s">
        <v>170</v>
      </c>
      <c r="F96" s="14">
        <f>1*14064</f>
        <v>14064</v>
      </c>
    </row>
    <row r="97" spans="1:6" x14ac:dyDescent="0.25">
      <c r="A97" s="3"/>
      <c r="B97" s="2"/>
      <c r="C97" s="3"/>
      <c r="D97" s="17" t="s">
        <v>175</v>
      </c>
      <c r="E97" s="13" t="s">
        <v>170</v>
      </c>
      <c r="F97" s="14">
        <f>1*8614</f>
        <v>8614</v>
      </c>
    </row>
    <row r="98" spans="1:6" x14ac:dyDescent="0.25">
      <c r="A98" s="3"/>
      <c r="B98" s="2"/>
      <c r="C98" s="3"/>
      <c r="D98" s="17" t="s">
        <v>176</v>
      </c>
      <c r="E98" s="13" t="s">
        <v>170</v>
      </c>
      <c r="F98" s="14">
        <f>1*120</f>
        <v>120</v>
      </c>
    </row>
    <row r="99" spans="1:6" x14ac:dyDescent="0.25">
      <c r="A99" s="3"/>
      <c r="B99" s="2"/>
      <c r="C99" s="3"/>
      <c r="D99" s="17" t="s">
        <v>177</v>
      </c>
      <c r="E99" s="13" t="s">
        <v>58</v>
      </c>
      <c r="F99" s="14">
        <f>15*1199</f>
        <v>17985</v>
      </c>
    </row>
    <row r="100" spans="1:6" x14ac:dyDescent="0.25">
      <c r="A100" s="3"/>
      <c r="B100" s="2"/>
      <c r="C100" s="3"/>
      <c r="D100" s="17" t="s">
        <v>178</v>
      </c>
      <c r="E100" s="13" t="s">
        <v>170</v>
      </c>
      <c r="F100" s="14">
        <f>1*1380</f>
        <v>1380</v>
      </c>
    </row>
    <row r="101" spans="1:6" ht="30" x14ac:dyDescent="0.25">
      <c r="A101" s="3"/>
      <c r="B101" s="2"/>
      <c r="C101" s="3"/>
      <c r="D101" s="17" t="s">
        <v>179</v>
      </c>
      <c r="E101" s="13" t="s">
        <v>170</v>
      </c>
      <c r="F101" s="14">
        <f>1*348</f>
        <v>348</v>
      </c>
    </row>
    <row r="102" spans="1:6" x14ac:dyDescent="0.25">
      <c r="A102" s="3"/>
      <c r="B102" s="2"/>
      <c r="C102" s="3"/>
      <c r="D102" s="17" t="s">
        <v>180</v>
      </c>
      <c r="E102" s="13" t="s">
        <v>181</v>
      </c>
      <c r="F102" s="14">
        <f>5*396</f>
        <v>1980</v>
      </c>
    </row>
    <row r="103" spans="1:6" x14ac:dyDescent="0.25">
      <c r="A103" s="3"/>
      <c r="B103" s="2"/>
      <c r="C103" s="3"/>
      <c r="D103" s="17" t="s">
        <v>182</v>
      </c>
      <c r="E103" s="13" t="s">
        <v>181</v>
      </c>
      <c r="F103" s="14">
        <f>5*1010</f>
        <v>5050</v>
      </c>
    </row>
    <row r="104" spans="1:6" x14ac:dyDescent="0.25">
      <c r="A104" s="3"/>
      <c r="B104" s="2"/>
      <c r="C104" s="3"/>
      <c r="D104" s="17" t="s">
        <v>183</v>
      </c>
      <c r="E104" s="13" t="s">
        <v>181</v>
      </c>
      <c r="F104" s="14">
        <f>5*276</f>
        <v>1380</v>
      </c>
    </row>
    <row r="105" spans="1:6" x14ac:dyDescent="0.25">
      <c r="A105" s="3"/>
      <c r="B105" s="2"/>
      <c r="C105" s="3"/>
      <c r="D105" s="17" t="s">
        <v>184</v>
      </c>
      <c r="E105" s="13" t="s">
        <v>11</v>
      </c>
      <c r="F105" s="14">
        <f>5*132</f>
        <v>660</v>
      </c>
    </row>
    <row r="106" spans="1:6" ht="30" x14ac:dyDescent="0.25">
      <c r="A106" s="8"/>
      <c r="B106" s="9"/>
      <c r="C106" s="8"/>
      <c r="D106" s="17" t="s">
        <v>185</v>
      </c>
      <c r="E106" s="13" t="s">
        <v>186</v>
      </c>
      <c r="F106" s="14">
        <f>3*480</f>
        <v>1440</v>
      </c>
    </row>
    <row r="107" spans="1:6" x14ac:dyDescent="0.25">
      <c r="A107" s="10">
        <v>45519</v>
      </c>
      <c r="B107" s="11" t="s">
        <v>187</v>
      </c>
      <c r="C107" s="11" t="s">
        <v>188</v>
      </c>
      <c r="D107" s="6" t="s">
        <v>189</v>
      </c>
      <c r="E107" s="6" t="s">
        <v>190</v>
      </c>
      <c r="F107" s="7">
        <f>1000*55</f>
        <v>55000</v>
      </c>
    </row>
    <row r="108" spans="1:6" x14ac:dyDescent="0.25">
      <c r="A108" s="8"/>
      <c r="B108" s="8"/>
      <c r="C108" s="8"/>
      <c r="D108" s="6" t="s">
        <v>191</v>
      </c>
      <c r="E108" s="6" t="s">
        <v>192</v>
      </c>
      <c r="F108" s="7">
        <f>48*461</f>
        <v>22128</v>
      </c>
    </row>
    <row r="109" spans="1:6" ht="45" x14ac:dyDescent="0.25">
      <c r="A109" s="26">
        <v>45523</v>
      </c>
      <c r="B109" s="27" t="s">
        <v>193</v>
      </c>
      <c r="C109" s="28" t="s">
        <v>194</v>
      </c>
      <c r="D109" s="13" t="s">
        <v>195</v>
      </c>
      <c r="E109" s="13" t="s">
        <v>142</v>
      </c>
      <c r="F109" s="14">
        <f>200*79.313</f>
        <v>15862.6</v>
      </c>
    </row>
    <row r="110" spans="1:6" ht="45" x14ac:dyDescent="0.25">
      <c r="A110" s="26">
        <v>45527</v>
      </c>
      <c r="B110" s="29" t="s">
        <v>196</v>
      </c>
      <c r="C110" s="29" t="s">
        <v>197</v>
      </c>
      <c r="D110" s="17" t="s">
        <v>198</v>
      </c>
      <c r="E110" s="13" t="s">
        <v>199</v>
      </c>
      <c r="F110" s="14">
        <f>500*8.77</f>
        <v>4385</v>
      </c>
    </row>
    <row r="111" spans="1:6" ht="60" x14ac:dyDescent="0.25">
      <c r="A111" s="10">
        <v>45531</v>
      </c>
      <c r="B111" s="11" t="s">
        <v>25</v>
      </c>
      <c r="C111" s="11" t="s">
        <v>200</v>
      </c>
      <c r="D111" s="12" t="s">
        <v>201</v>
      </c>
      <c r="E111" s="13" t="s">
        <v>202</v>
      </c>
      <c r="F111" s="14">
        <f>11*602.3055</f>
        <v>6625.3605000000007</v>
      </c>
    </row>
    <row r="112" spans="1:6" ht="45" x14ac:dyDescent="0.25">
      <c r="A112" s="8"/>
      <c r="B112" s="8"/>
      <c r="C112" s="8"/>
      <c r="D112" s="12" t="s">
        <v>203</v>
      </c>
      <c r="E112" s="13" t="s">
        <v>204</v>
      </c>
      <c r="F112" s="14">
        <f>95*401.537</f>
        <v>38146.014999999999</v>
      </c>
    </row>
    <row r="113" spans="1:6" x14ac:dyDescent="0.25">
      <c r="A113" s="10">
        <v>45512</v>
      </c>
      <c r="B113" s="11" t="s">
        <v>7</v>
      </c>
      <c r="C113" s="11" t="s">
        <v>205</v>
      </c>
      <c r="D113" s="6" t="s">
        <v>206</v>
      </c>
      <c r="E113" s="6" t="s">
        <v>207</v>
      </c>
      <c r="F113" s="7">
        <f>9*35</f>
        <v>315</v>
      </c>
    </row>
    <row r="114" spans="1:6" x14ac:dyDescent="0.25">
      <c r="A114" s="3"/>
      <c r="B114" s="3"/>
      <c r="C114" s="3"/>
      <c r="D114" s="6" t="s">
        <v>208</v>
      </c>
      <c r="E114" s="6" t="s">
        <v>209</v>
      </c>
      <c r="F114" s="7">
        <f>12*30</f>
        <v>360</v>
      </c>
    </row>
    <row r="115" spans="1:6" x14ac:dyDescent="0.25">
      <c r="A115" s="3"/>
      <c r="B115" s="3"/>
      <c r="C115" s="3"/>
      <c r="D115" s="6" t="s">
        <v>210</v>
      </c>
      <c r="E115" s="6" t="s">
        <v>41</v>
      </c>
      <c r="F115" s="7">
        <f>3*110</f>
        <v>330</v>
      </c>
    </row>
    <row r="116" spans="1:6" x14ac:dyDescent="0.25">
      <c r="A116" s="3"/>
      <c r="B116" s="3"/>
      <c r="C116" s="3"/>
      <c r="D116" s="6" t="s">
        <v>211</v>
      </c>
      <c r="E116" s="6" t="s">
        <v>212</v>
      </c>
      <c r="F116" s="7">
        <f>95*32</f>
        <v>3040</v>
      </c>
    </row>
    <row r="117" spans="1:6" x14ac:dyDescent="0.25">
      <c r="A117" s="3"/>
      <c r="B117" s="3"/>
      <c r="C117" s="3"/>
      <c r="D117" s="6" t="s">
        <v>213</v>
      </c>
      <c r="E117" s="6" t="s">
        <v>61</v>
      </c>
      <c r="F117" s="7">
        <f>100*1.2</f>
        <v>120</v>
      </c>
    </row>
    <row r="118" spans="1:6" x14ac:dyDescent="0.25">
      <c r="A118" s="3"/>
      <c r="B118" s="3"/>
      <c r="C118" s="3"/>
      <c r="D118" s="6" t="s">
        <v>214</v>
      </c>
      <c r="E118" s="6" t="s">
        <v>215</v>
      </c>
      <c r="F118" s="7">
        <f>24*30</f>
        <v>720</v>
      </c>
    </row>
    <row r="119" spans="1:6" x14ac:dyDescent="0.25">
      <c r="A119" s="8"/>
      <c r="B119" s="8"/>
      <c r="C119" s="8"/>
      <c r="D119" s="6" t="s">
        <v>216</v>
      </c>
      <c r="E119" s="6" t="s">
        <v>217</v>
      </c>
      <c r="F119" s="7">
        <f>160*120</f>
        <v>19200</v>
      </c>
    </row>
    <row r="120" spans="1:6" ht="60" x14ac:dyDescent="0.25">
      <c r="A120" s="30">
        <v>45532</v>
      </c>
      <c r="B120" s="27" t="s">
        <v>218</v>
      </c>
      <c r="C120" s="29" t="s">
        <v>1</v>
      </c>
      <c r="D120" s="13" t="s">
        <v>219</v>
      </c>
      <c r="E120" s="13" t="s">
        <v>3</v>
      </c>
      <c r="F120" s="14">
        <f>6*2243.26</f>
        <v>13459.560000000001</v>
      </c>
    </row>
    <row r="121" spans="1:6" ht="30" x14ac:dyDescent="0.25">
      <c r="A121" s="26">
        <v>45518</v>
      </c>
      <c r="B121" s="28" t="s">
        <v>25</v>
      </c>
      <c r="C121" s="28" t="s">
        <v>220</v>
      </c>
      <c r="D121" s="12" t="s">
        <v>221</v>
      </c>
      <c r="E121" s="13" t="s">
        <v>222</v>
      </c>
      <c r="F121" s="14">
        <f>15*202.2835</f>
        <v>3034.2525000000001</v>
      </c>
    </row>
    <row r="122" spans="1:6" ht="30" x14ac:dyDescent="0.25">
      <c r="A122" s="26">
        <v>45510</v>
      </c>
      <c r="B122" s="28" t="s">
        <v>25</v>
      </c>
      <c r="C122" s="28" t="s">
        <v>223</v>
      </c>
      <c r="D122" s="12" t="s">
        <v>224</v>
      </c>
      <c r="E122" s="13" t="s">
        <v>225</v>
      </c>
      <c r="F122" s="14">
        <f>82*771.4</f>
        <v>63254.799999999996</v>
      </c>
    </row>
    <row r="123" spans="1:6" x14ac:dyDescent="0.25">
      <c r="A123" s="30">
        <v>45505</v>
      </c>
      <c r="B123" s="28" t="s">
        <v>7</v>
      </c>
      <c r="C123" s="28" t="s">
        <v>226</v>
      </c>
      <c r="D123" s="6" t="s">
        <v>118</v>
      </c>
      <c r="E123" s="6" t="s">
        <v>64</v>
      </c>
      <c r="F123" s="7">
        <f>60*15</f>
        <v>900</v>
      </c>
    </row>
    <row r="124" spans="1:6" x14ac:dyDescent="0.25">
      <c r="A124" s="30">
        <v>45512</v>
      </c>
      <c r="B124" s="28" t="s">
        <v>7</v>
      </c>
      <c r="C124" s="28" t="s">
        <v>227</v>
      </c>
      <c r="D124" s="6" t="s">
        <v>118</v>
      </c>
      <c r="E124" s="6" t="s">
        <v>64</v>
      </c>
      <c r="F124" s="7">
        <f>60*15</f>
        <v>900</v>
      </c>
    </row>
    <row r="125" spans="1:6" x14ac:dyDescent="0.25">
      <c r="A125" s="30">
        <v>45509</v>
      </c>
      <c r="B125" s="28" t="s">
        <v>7</v>
      </c>
      <c r="C125" s="28" t="s">
        <v>228</v>
      </c>
      <c r="D125" s="6" t="s">
        <v>118</v>
      </c>
      <c r="E125" s="6" t="s">
        <v>120</v>
      </c>
      <c r="F125" s="7">
        <f>36*15</f>
        <v>540</v>
      </c>
    </row>
    <row r="126" spans="1:6" x14ac:dyDescent="0.25">
      <c r="A126" s="30">
        <v>45516</v>
      </c>
      <c r="B126" s="28" t="s">
        <v>7</v>
      </c>
      <c r="C126" s="28" t="s">
        <v>229</v>
      </c>
      <c r="D126" s="6" t="s">
        <v>118</v>
      </c>
      <c r="E126" s="6" t="s">
        <v>120</v>
      </c>
      <c r="F126" s="7">
        <f>36*15</f>
        <v>540</v>
      </c>
    </row>
    <row r="127" spans="1:6" x14ac:dyDescent="0.25">
      <c r="A127" s="30">
        <v>45516</v>
      </c>
      <c r="B127" s="28" t="s">
        <v>7</v>
      </c>
      <c r="C127" s="28" t="s">
        <v>230</v>
      </c>
      <c r="D127" s="6" t="s">
        <v>231</v>
      </c>
      <c r="E127" s="6" t="s">
        <v>232</v>
      </c>
      <c r="F127" s="7">
        <f>30*150</f>
        <v>4500</v>
      </c>
    </row>
    <row r="128" spans="1:6" x14ac:dyDescent="0.25">
      <c r="A128" s="30">
        <v>45519</v>
      </c>
      <c r="B128" s="28" t="s">
        <v>7</v>
      </c>
      <c r="C128" s="28" t="s">
        <v>233</v>
      </c>
      <c r="D128" s="6" t="s">
        <v>118</v>
      </c>
      <c r="E128" s="6" t="s">
        <v>234</v>
      </c>
      <c r="F128" s="7">
        <f>120*15</f>
        <v>1800</v>
      </c>
    </row>
    <row r="129" spans="1:6" x14ac:dyDescent="0.25">
      <c r="A129" s="30">
        <v>45523</v>
      </c>
      <c r="B129" s="28" t="s">
        <v>7</v>
      </c>
      <c r="C129" s="28" t="s">
        <v>235</v>
      </c>
      <c r="D129" s="6" t="s">
        <v>118</v>
      </c>
      <c r="E129" s="6" t="s">
        <v>120</v>
      </c>
      <c r="F129" s="7">
        <f>36*15</f>
        <v>540</v>
      </c>
    </row>
    <row r="130" spans="1:6" x14ac:dyDescent="0.25">
      <c r="A130" s="30">
        <v>45526</v>
      </c>
      <c r="B130" s="28" t="s">
        <v>7</v>
      </c>
      <c r="C130" s="28" t="s">
        <v>149</v>
      </c>
      <c r="D130" s="6" t="s">
        <v>118</v>
      </c>
      <c r="E130" s="6" t="s">
        <v>234</v>
      </c>
      <c r="F130" s="7">
        <f>120*15</f>
        <v>1800</v>
      </c>
    </row>
    <row r="131" spans="1:6" x14ac:dyDescent="0.25">
      <c r="A131" s="10">
        <v>45530</v>
      </c>
      <c r="B131" s="11" t="s">
        <v>7</v>
      </c>
      <c r="C131" s="11" t="s">
        <v>236</v>
      </c>
      <c r="D131" s="6" t="s">
        <v>118</v>
      </c>
      <c r="E131" s="6" t="s">
        <v>120</v>
      </c>
      <c r="F131" s="7">
        <f>36*15</f>
        <v>540</v>
      </c>
    </row>
    <row r="132" spans="1:6" x14ac:dyDescent="0.25">
      <c r="A132" s="3"/>
      <c r="B132" s="3"/>
      <c r="C132" s="3"/>
      <c r="D132" s="6" t="s">
        <v>237</v>
      </c>
      <c r="E132" s="6" t="s">
        <v>5</v>
      </c>
      <c r="F132" s="7">
        <f>1*75</f>
        <v>75</v>
      </c>
    </row>
    <row r="133" spans="1:6" x14ac:dyDescent="0.25">
      <c r="A133" s="8"/>
      <c r="B133" s="8"/>
      <c r="C133" s="8"/>
      <c r="D133" s="6" t="s">
        <v>238</v>
      </c>
      <c r="E133" s="6" t="s">
        <v>239</v>
      </c>
      <c r="F133" s="7">
        <f>5*17</f>
        <v>85</v>
      </c>
    </row>
    <row r="134" spans="1:6" x14ac:dyDescent="0.25">
      <c r="A134" s="30">
        <v>45533</v>
      </c>
      <c r="B134" s="28" t="s">
        <v>7</v>
      </c>
      <c r="C134" s="28" t="s">
        <v>240</v>
      </c>
      <c r="D134" s="6" t="s">
        <v>118</v>
      </c>
      <c r="E134" s="6" t="s">
        <v>61</v>
      </c>
      <c r="F134" s="7">
        <f>100*15</f>
        <v>1500</v>
      </c>
    </row>
    <row r="135" spans="1:6" x14ac:dyDescent="0.25">
      <c r="A135" s="10">
        <v>45565</v>
      </c>
      <c r="B135" s="11" t="s">
        <v>7</v>
      </c>
      <c r="C135" s="11" t="s">
        <v>241</v>
      </c>
      <c r="D135" s="6" t="s">
        <v>242</v>
      </c>
      <c r="E135" s="6" t="s">
        <v>23</v>
      </c>
      <c r="F135" s="7">
        <f>34*15</f>
        <v>510</v>
      </c>
    </row>
    <row r="136" spans="1:6" x14ac:dyDescent="0.25">
      <c r="A136" s="8"/>
      <c r="B136" s="8"/>
      <c r="C136" s="8"/>
      <c r="D136" s="6" t="s">
        <v>243</v>
      </c>
      <c r="E136" s="6" t="s">
        <v>244</v>
      </c>
      <c r="F136" s="7">
        <f>360*12</f>
        <v>4320</v>
      </c>
    </row>
    <row r="137" spans="1:6" x14ac:dyDescent="0.25">
      <c r="A137" s="30">
        <v>45561</v>
      </c>
      <c r="B137" s="39" t="s">
        <v>7</v>
      </c>
      <c r="C137" s="39" t="s">
        <v>245</v>
      </c>
      <c r="D137" s="6" t="s">
        <v>242</v>
      </c>
      <c r="E137" s="6" t="s">
        <v>246</v>
      </c>
      <c r="F137" s="7">
        <f>80*15</f>
        <v>1200</v>
      </c>
    </row>
    <row r="138" spans="1:6" x14ac:dyDescent="0.25">
      <c r="A138" s="30">
        <v>45558</v>
      </c>
      <c r="B138" s="39" t="s">
        <v>7</v>
      </c>
      <c r="C138" s="39" t="s">
        <v>247</v>
      </c>
      <c r="D138" s="6" t="s">
        <v>242</v>
      </c>
      <c r="E138" s="6" t="s">
        <v>23</v>
      </c>
      <c r="F138" s="7">
        <f>34*15</f>
        <v>510</v>
      </c>
    </row>
    <row r="139" spans="1:6" x14ac:dyDescent="0.25">
      <c r="A139" s="30">
        <v>45554</v>
      </c>
      <c r="B139" s="39" t="s">
        <v>7</v>
      </c>
      <c r="C139" s="39" t="s">
        <v>248</v>
      </c>
      <c r="D139" s="6" t="s">
        <v>242</v>
      </c>
      <c r="E139" s="6" t="s">
        <v>249</v>
      </c>
      <c r="F139" s="7">
        <f>90*15</f>
        <v>1350</v>
      </c>
    </row>
    <row r="140" spans="1:6" x14ac:dyDescent="0.25">
      <c r="A140" s="30">
        <v>45551</v>
      </c>
      <c r="B140" s="39" t="s">
        <v>7</v>
      </c>
      <c r="C140" s="39" t="s">
        <v>250</v>
      </c>
      <c r="D140" s="6" t="s">
        <v>243</v>
      </c>
      <c r="E140" s="6" t="s">
        <v>251</v>
      </c>
      <c r="F140" s="7">
        <f>221*15</f>
        <v>3315</v>
      </c>
    </row>
    <row r="141" spans="1:6" x14ac:dyDescent="0.25">
      <c r="A141" s="30">
        <v>45551</v>
      </c>
      <c r="B141" s="39" t="s">
        <v>7</v>
      </c>
      <c r="C141" s="39" t="s">
        <v>252</v>
      </c>
      <c r="D141" s="6" t="s">
        <v>242</v>
      </c>
      <c r="E141" s="6" t="s">
        <v>23</v>
      </c>
      <c r="F141" s="7">
        <f>34*15</f>
        <v>510</v>
      </c>
    </row>
    <row r="142" spans="1:6" x14ac:dyDescent="0.25">
      <c r="A142" s="10">
        <v>45547</v>
      </c>
      <c r="B142" s="11" t="s">
        <v>7</v>
      </c>
      <c r="C142" s="11" t="s">
        <v>253</v>
      </c>
      <c r="D142" s="6" t="s">
        <v>242</v>
      </c>
      <c r="E142" s="6" t="s">
        <v>246</v>
      </c>
      <c r="F142" s="7">
        <f>80*15</f>
        <v>1200</v>
      </c>
    </row>
    <row r="143" spans="1:6" x14ac:dyDescent="0.25">
      <c r="A143" s="8"/>
      <c r="B143" s="8"/>
      <c r="C143" s="8"/>
      <c r="D143" s="6" t="s">
        <v>254</v>
      </c>
      <c r="E143" s="6" t="s">
        <v>239</v>
      </c>
      <c r="F143" s="7">
        <f>5*17</f>
        <v>85</v>
      </c>
    </row>
    <row r="144" spans="1:6" x14ac:dyDescent="0.25">
      <c r="A144" s="30">
        <v>45544</v>
      </c>
      <c r="B144" s="39" t="s">
        <v>7</v>
      </c>
      <c r="C144" s="39" t="s">
        <v>255</v>
      </c>
      <c r="D144" s="6" t="s">
        <v>242</v>
      </c>
      <c r="E144" s="6" t="s">
        <v>23</v>
      </c>
      <c r="F144" s="7">
        <f>34*15</f>
        <v>510</v>
      </c>
    </row>
    <row r="145" spans="1:6" x14ac:dyDescent="0.25">
      <c r="A145" s="30">
        <v>45540</v>
      </c>
      <c r="B145" s="39" t="s">
        <v>7</v>
      </c>
      <c r="C145" s="39" t="s">
        <v>256</v>
      </c>
      <c r="D145" s="6" t="s">
        <v>242</v>
      </c>
      <c r="E145" s="6" t="s">
        <v>64</v>
      </c>
      <c r="F145" s="7">
        <f>60*15</f>
        <v>900</v>
      </c>
    </row>
    <row r="146" spans="1:6" x14ac:dyDescent="0.25">
      <c r="A146" s="30">
        <v>45537</v>
      </c>
      <c r="B146" s="39" t="s">
        <v>7</v>
      </c>
      <c r="C146" s="39" t="s">
        <v>257</v>
      </c>
      <c r="D146" s="6" t="s">
        <v>242</v>
      </c>
      <c r="E146" s="6" t="s">
        <v>23</v>
      </c>
      <c r="F146" s="7">
        <f>34*15</f>
        <v>510</v>
      </c>
    </row>
    <row r="147" spans="1:6" ht="45" x14ac:dyDescent="0.25">
      <c r="A147" s="26">
        <v>45546</v>
      </c>
      <c r="B147" s="29" t="s">
        <v>258</v>
      </c>
      <c r="C147" s="28" t="s">
        <v>259</v>
      </c>
      <c r="D147" s="17" t="s">
        <v>260</v>
      </c>
      <c r="E147" s="13" t="s">
        <v>261</v>
      </c>
      <c r="F147" s="14">
        <f>300*42.8</f>
        <v>12840</v>
      </c>
    </row>
    <row r="148" spans="1:6" ht="30" x14ac:dyDescent="0.25">
      <c r="A148" s="40">
        <v>45559</v>
      </c>
      <c r="B148" s="41" t="s">
        <v>85</v>
      </c>
      <c r="C148" s="42" t="s">
        <v>262</v>
      </c>
      <c r="D148" s="43" t="s">
        <v>263</v>
      </c>
      <c r="E148" s="37" t="s">
        <v>88</v>
      </c>
      <c r="F148" s="21">
        <f>1680*63.25</f>
        <v>106260</v>
      </c>
    </row>
    <row r="149" spans="1:6" ht="30" x14ac:dyDescent="0.25">
      <c r="A149" s="44"/>
      <c r="B149" s="45"/>
      <c r="C149" s="44"/>
      <c r="D149" s="43" t="s">
        <v>264</v>
      </c>
      <c r="E149" s="37" t="s">
        <v>265</v>
      </c>
      <c r="F149" s="21">
        <f>300*0</f>
        <v>0</v>
      </c>
    </row>
    <row r="150" spans="1:6" x14ac:dyDescent="0.25">
      <c r="A150" s="44"/>
      <c r="B150" s="45"/>
      <c r="C150" s="44"/>
      <c r="D150" s="43" t="s">
        <v>266</v>
      </c>
      <c r="E150" s="37" t="s">
        <v>265</v>
      </c>
      <c r="F150" s="21">
        <f t="shared" ref="F150:F151" si="0">300*0</f>
        <v>0</v>
      </c>
    </row>
    <row r="151" spans="1:6" x14ac:dyDescent="0.25">
      <c r="A151" s="44"/>
      <c r="B151" s="45"/>
      <c r="C151" s="44"/>
      <c r="D151" s="43" t="s">
        <v>267</v>
      </c>
      <c r="E151" s="37" t="s">
        <v>265</v>
      </c>
      <c r="F151" s="21">
        <f t="shared" si="0"/>
        <v>0</v>
      </c>
    </row>
    <row r="152" spans="1:6" x14ac:dyDescent="0.25">
      <c r="A152" s="44"/>
      <c r="B152" s="45"/>
      <c r="C152" s="44"/>
      <c r="D152" s="36" t="s">
        <v>268</v>
      </c>
      <c r="E152" s="37" t="s">
        <v>265</v>
      </c>
      <c r="F152" s="21">
        <f>300*10.5</f>
        <v>3150</v>
      </c>
    </row>
    <row r="153" spans="1:6" ht="30" x14ac:dyDescent="0.25">
      <c r="A153" s="44"/>
      <c r="B153" s="45"/>
      <c r="C153" s="44"/>
      <c r="D153" s="43" t="s">
        <v>269</v>
      </c>
      <c r="E153" s="37" t="s">
        <v>270</v>
      </c>
      <c r="F153" s="21">
        <f>300*0</f>
        <v>0</v>
      </c>
    </row>
    <row r="154" spans="1:6" x14ac:dyDescent="0.25">
      <c r="A154" s="44"/>
      <c r="B154" s="45"/>
      <c r="C154" s="44"/>
      <c r="D154" s="43" t="s">
        <v>271</v>
      </c>
      <c r="E154" s="37" t="s">
        <v>270</v>
      </c>
      <c r="F154" s="21">
        <f t="shared" ref="F154:F155" si="1">300*0</f>
        <v>0</v>
      </c>
    </row>
    <row r="155" spans="1:6" x14ac:dyDescent="0.25">
      <c r="A155" s="44"/>
      <c r="B155" s="45"/>
      <c r="C155" s="44"/>
      <c r="D155" s="43" t="s">
        <v>272</v>
      </c>
      <c r="E155" s="37" t="s">
        <v>270</v>
      </c>
      <c r="F155" s="21">
        <f t="shared" si="1"/>
        <v>0</v>
      </c>
    </row>
    <row r="156" spans="1:6" ht="30" x14ac:dyDescent="0.25">
      <c r="A156" s="38"/>
      <c r="B156" s="46"/>
      <c r="C156" s="38"/>
      <c r="D156" s="36" t="s">
        <v>273</v>
      </c>
      <c r="E156" s="37" t="s">
        <v>270</v>
      </c>
      <c r="F156" s="21">
        <f>500*11</f>
        <v>5500</v>
      </c>
    </row>
    <row r="157" spans="1:6" ht="45" x14ac:dyDescent="0.25">
      <c r="A157" s="18">
        <v>45539</v>
      </c>
      <c r="B157" s="22" t="s">
        <v>89</v>
      </c>
      <c r="C157" s="23" t="s">
        <v>274</v>
      </c>
      <c r="D157" s="24" t="s">
        <v>275</v>
      </c>
      <c r="E157" s="20" t="s">
        <v>50</v>
      </c>
      <c r="F157" s="25">
        <f>20*14.53</f>
        <v>290.59999999999997</v>
      </c>
    </row>
    <row r="158" spans="1:6" ht="30" x14ac:dyDescent="0.25">
      <c r="A158" s="18">
        <v>45548</v>
      </c>
      <c r="B158" s="19" t="s">
        <v>276</v>
      </c>
      <c r="C158" s="23" t="s">
        <v>277</v>
      </c>
      <c r="D158" s="36" t="s">
        <v>278</v>
      </c>
      <c r="E158" s="20" t="s">
        <v>279</v>
      </c>
      <c r="F158" s="25">
        <f>420*63.25</f>
        <v>26565</v>
      </c>
    </row>
    <row r="159" spans="1:6" x14ac:dyDescent="0.25">
      <c r="A159" s="26">
        <v>45548</v>
      </c>
      <c r="B159" s="28" t="s">
        <v>102</v>
      </c>
      <c r="C159" s="28" t="s">
        <v>106</v>
      </c>
      <c r="D159" s="6" t="s">
        <v>280</v>
      </c>
      <c r="E159" s="6" t="s">
        <v>281</v>
      </c>
      <c r="F159" s="7">
        <f>0.373*846</f>
        <v>315.55799999999999</v>
      </c>
    </row>
    <row r="160" spans="1:6" ht="45" x14ac:dyDescent="0.25">
      <c r="A160" s="26">
        <v>45560</v>
      </c>
      <c r="B160" s="29" t="s">
        <v>282</v>
      </c>
      <c r="C160" s="28" t="s">
        <v>1</v>
      </c>
      <c r="D160" s="13" t="s">
        <v>283</v>
      </c>
      <c r="E160" s="47" t="s">
        <v>61</v>
      </c>
      <c r="F160" s="48">
        <f>100*73.1372</f>
        <v>7313.7200000000012</v>
      </c>
    </row>
    <row r="161" spans="1:6" ht="45" x14ac:dyDescent="0.25">
      <c r="A161" s="26">
        <v>45539</v>
      </c>
      <c r="B161" s="27" t="s">
        <v>89</v>
      </c>
      <c r="C161" s="28" t="s">
        <v>284</v>
      </c>
      <c r="D161" s="17" t="s">
        <v>285</v>
      </c>
      <c r="E161" s="13" t="s">
        <v>286</v>
      </c>
      <c r="F161" s="14">
        <f>20*38.7</f>
        <v>774</v>
      </c>
    </row>
    <row r="162" spans="1:6" ht="30" x14ac:dyDescent="0.25">
      <c r="A162" s="10">
        <v>45562</v>
      </c>
      <c r="B162" s="15" t="s">
        <v>89</v>
      </c>
      <c r="C162" s="11" t="s">
        <v>287</v>
      </c>
      <c r="D162" s="17" t="s">
        <v>288</v>
      </c>
      <c r="E162" s="47" t="s">
        <v>289</v>
      </c>
      <c r="F162" s="49">
        <f>50*30</f>
        <v>1500</v>
      </c>
    </row>
    <row r="163" spans="1:6" x14ac:dyDescent="0.25">
      <c r="A163" s="50"/>
      <c r="B163" s="9"/>
      <c r="C163" s="8"/>
      <c r="D163" s="17" t="s">
        <v>290</v>
      </c>
      <c r="E163" s="47" t="s">
        <v>291</v>
      </c>
      <c r="F163" s="49">
        <f>30*186.7</f>
        <v>5601</v>
      </c>
    </row>
    <row r="164" spans="1:6" ht="45" x14ac:dyDescent="0.25">
      <c r="A164" s="10">
        <v>45540</v>
      </c>
      <c r="B164" s="15" t="s">
        <v>89</v>
      </c>
      <c r="C164" s="11" t="s">
        <v>292</v>
      </c>
      <c r="D164" s="12" t="s">
        <v>293</v>
      </c>
      <c r="E164" s="13" t="s">
        <v>294</v>
      </c>
      <c r="F164" s="14">
        <f>25*29.9864</f>
        <v>749.66</v>
      </c>
    </row>
    <row r="165" spans="1:6" ht="30" x14ac:dyDescent="0.25">
      <c r="A165" s="50"/>
      <c r="B165" s="9"/>
      <c r="C165" s="8"/>
      <c r="D165" s="12" t="s">
        <v>295</v>
      </c>
      <c r="E165" s="13" t="s">
        <v>66</v>
      </c>
      <c r="F165" s="14">
        <f>20*38.397</f>
        <v>767.93999999999994</v>
      </c>
    </row>
    <row r="166" spans="1:6" ht="30" x14ac:dyDescent="0.25">
      <c r="A166" s="10">
        <v>45538</v>
      </c>
      <c r="B166" s="15" t="s">
        <v>296</v>
      </c>
      <c r="C166" s="11" t="s">
        <v>297</v>
      </c>
      <c r="D166" s="12" t="s">
        <v>298</v>
      </c>
      <c r="E166" s="13" t="s">
        <v>5</v>
      </c>
      <c r="F166" s="14">
        <f>1*22979.26</f>
        <v>22979.26</v>
      </c>
    </row>
    <row r="167" spans="1:6" ht="45" x14ac:dyDescent="0.25">
      <c r="A167" s="8"/>
      <c r="B167" s="9"/>
      <c r="C167" s="8"/>
      <c r="D167" s="17" t="s">
        <v>299</v>
      </c>
      <c r="E167" s="13" t="s">
        <v>41</v>
      </c>
      <c r="F167" s="14">
        <f>3*19471.0847</f>
        <v>58413.254099999998</v>
      </c>
    </row>
    <row r="168" spans="1:6" ht="45" x14ac:dyDescent="0.25">
      <c r="A168" s="26">
        <v>45538</v>
      </c>
      <c r="B168" s="27" t="s">
        <v>296</v>
      </c>
      <c r="C168" s="28" t="s">
        <v>300</v>
      </c>
      <c r="D168" s="47" t="s">
        <v>301</v>
      </c>
      <c r="E168" s="47" t="s">
        <v>190</v>
      </c>
      <c r="F168" s="48">
        <f>1000*1.82843</f>
        <v>1828.43</v>
      </c>
    </row>
    <row r="169" spans="1:6" x14ac:dyDescent="0.25">
      <c r="A169" s="30">
        <v>45537</v>
      </c>
      <c r="B169" s="39" t="s">
        <v>7</v>
      </c>
      <c r="C169" s="39" t="s">
        <v>302</v>
      </c>
      <c r="D169" s="6" t="s">
        <v>303</v>
      </c>
      <c r="E169" s="6" t="s">
        <v>304</v>
      </c>
      <c r="F169" s="7">
        <f>6*1700</f>
        <v>10200</v>
      </c>
    </row>
    <row r="170" spans="1:6" ht="30" x14ac:dyDescent="0.25">
      <c r="A170" s="10">
        <v>45538</v>
      </c>
      <c r="B170" s="15" t="s">
        <v>282</v>
      </c>
      <c r="C170" s="11" t="s">
        <v>1</v>
      </c>
      <c r="D170" s="17" t="s">
        <v>305</v>
      </c>
      <c r="E170" s="13" t="s">
        <v>306</v>
      </c>
      <c r="F170" s="14">
        <f>2100*1.12</f>
        <v>2352</v>
      </c>
    </row>
    <row r="171" spans="1:6" ht="30" x14ac:dyDescent="0.25">
      <c r="A171" s="8"/>
      <c r="B171" s="9"/>
      <c r="C171" s="8"/>
      <c r="D171" s="12" t="s">
        <v>307</v>
      </c>
      <c r="E171" s="13" t="s">
        <v>308</v>
      </c>
      <c r="F171" s="14">
        <f>1400*0.94</f>
        <v>1316</v>
      </c>
    </row>
    <row r="172" spans="1:6" x14ac:dyDescent="0.25">
      <c r="A172" s="10">
        <v>45538</v>
      </c>
      <c r="B172" s="15" t="s">
        <v>309</v>
      </c>
      <c r="C172" s="11" t="s">
        <v>256</v>
      </c>
      <c r="D172" s="6" t="s">
        <v>310</v>
      </c>
      <c r="E172" s="6" t="s">
        <v>135</v>
      </c>
      <c r="F172" s="7">
        <f>10*500</f>
        <v>5000</v>
      </c>
    </row>
    <row r="173" spans="1:6" x14ac:dyDescent="0.25">
      <c r="A173" s="3"/>
      <c r="B173" s="2"/>
      <c r="C173" s="3"/>
      <c r="D173" s="6" t="s">
        <v>311</v>
      </c>
      <c r="E173" s="6" t="s">
        <v>135</v>
      </c>
      <c r="F173" s="7">
        <f>10*200</f>
        <v>2000</v>
      </c>
    </row>
    <row r="174" spans="1:6" x14ac:dyDescent="0.25">
      <c r="A174" s="3"/>
      <c r="B174" s="2"/>
      <c r="C174" s="3"/>
      <c r="D174" s="6" t="s">
        <v>312</v>
      </c>
      <c r="E174" s="6" t="s">
        <v>135</v>
      </c>
      <c r="F174" s="7">
        <f>10*250</f>
        <v>2500</v>
      </c>
    </row>
    <row r="175" spans="1:6" x14ac:dyDescent="0.25">
      <c r="A175" s="8"/>
      <c r="B175" s="9"/>
      <c r="C175" s="8"/>
      <c r="D175" s="6" t="s">
        <v>313</v>
      </c>
      <c r="E175" s="6" t="s">
        <v>23</v>
      </c>
      <c r="F175" s="7">
        <f>34*300</f>
        <v>10200</v>
      </c>
    </row>
    <row r="176" spans="1:6" ht="60" x14ac:dyDescent="0.25">
      <c r="A176" s="26">
        <v>45547</v>
      </c>
      <c r="B176" s="29" t="s">
        <v>218</v>
      </c>
      <c r="C176" s="28" t="s">
        <v>314</v>
      </c>
      <c r="D176" s="13" t="s">
        <v>315</v>
      </c>
      <c r="E176" s="13" t="s">
        <v>41</v>
      </c>
      <c r="F176" s="14">
        <f>3*2700</f>
        <v>8100</v>
      </c>
    </row>
    <row r="177" spans="1:6" x14ac:dyDescent="0.25">
      <c r="A177" s="10">
        <v>45540</v>
      </c>
      <c r="B177" s="11" t="s">
        <v>25</v>
      </c>
      <c r="C177" s="11" t="s">
        <v>316</v>
      </c>
      <c r="D177" s="6" t="s">
        <v>317</v>
      </c>
      <c r="E177" s="51" t="s">
        <v>5</v>
      </c>
      <c r="F177" s="52">
        <f>1*13636</f>
        <v>13636</v>
      </c>
    </row>
    <row r="178" spans="1:6" x14ac:dyDescent="0.25">
      <c r="A178" s="8"/>
      <c r="B178" s="8"/>
      <c r="C178" s="8"/>
      <c r="D178" s="6" t="s">
        <v>318</v>
      </c>
      <c r="E178" s="53"/>
      <c r="F178" s="54"/>
    </row>
    <row r="179" spans="1:6" ht="60" x14ac:dyDescent="0.25">
      <c r="A179" s="26">
        <v>45537</v>
      </c>
      <c r="B179" s="27" t="s">
        <v>68</v>
      </c>
      <c r="C179" s="28" t="s">
        <v>319</v>
      </c>
      <c r="D179" s="13" t="s">
        <v>320</v>
      </c>
      <c r="E179" s="13" t="s">
        <v>13</v>
      </c>
      <c r="F179" s="14">
        <f>2*1760</f>
        <v>3520</v>
      </c>
    </row>
    <row r="180" spans="1:6" ht="30" x14ac:dyDescent="0.25">
      <c r="A180" s="10">
        <v>45538</v>
      </c>
      <c r="B180" s="15" t="s">
        <v>321</v>
      </c>
      <c r="C180" s="11" t="s">
        <v>322</v>
      </c>
      <c r="D180" s="12" t="s">
        <v>323</v>
      </c>
      <c r="E180" s="13" t="s">
        <v>5</v>
      </c>
      <c r="F180" s="14">
        <f>1*205452.15</f>
        <v>205452.15</v>
      </c>
    </row>
    <row r="181" spans="1:6" ht="45" x14ac:dyDescent="0.25">
      <c r="A181" s="3"/>
      <c r="B181" s="2"/>
      <c r="C181" s="3"/>
      <c r="D181" s="12" t="s">
        <v>324</v>
      </c>
      <c r="E181" s="13" t="s">
        <v>5</v>
      </c>
      <c r="F181" s="14">
        <f>1*25214.7</f>
        <v>25214.7</v>
      </c>
    </row>
    <row r="182" spans="1:6" x14ac:dyDescent="0.25">
      <c r="A182" s="3"/>
      <c r="B182" s="2"/>
      <c r="C182" s="3"/>
      <c r="D182" s="12" t="s">
        <v>325</v>
      </c>
      <c r="E182" s="13" t="s">
        <v>5</v>
      </c>
      <c r="F182" s="14">
        <f>1*1128.517</f>
        <v>1128.5170000000001</v>
      </c>
    </row>
    <row r="183" spans="1:6" ht="30" x14ac:dyDescent="0.25">
      <c r="A183" s="3"/>
      <c r="B183" s="2"/>
      <c r="C183" s="3"/>
      <c r="D183" s="12" t="s">
        <v>323</v>
      </c>
      <c r="E183" s="13" t="s">
        <v>5</v>
      </c>
      <c r="F183" s="14">
        <f>1*205452.15</f>
        <v>205452.15</v>
      </c>
    </row>
    <row r="184" spans="1:6" ht="45" x14ac:dyDescent="0.25">
      <c r="A184" s="3"/>
      <c r="B184" s="2"/>
      <c r="C184" s="3"/>
      <c r="D184" s="12" t="s">
        <v>324</v>
      </c>
      <c r="E184" s="13" t="s">
        <v>5</v>
      </c>
      <c r="F184" s="14">
        <f>1*25214.7033999999</f>
        <v>25214.7033999999</v>
      </c>
    </row>
    <row r="185" spans="1:6" x14ac:dyDescent="0.25">
      <c r="A185" s="3"/>
      <c r="B185" s="2"/>
      <c r="C185" s="3"/>
      <c r="D185" s="12" t="s">
        <v>325</v>
      </c>
      <c r="E185" s="13" t="s">
        <v>5</v>
      </c>
      <c r="F185" s="14">
        <f>1*1128.517</f>
        <v>1128.5170000000001</v>
      </c>
    </row>
    <row r="186" spans="1:6" ht="30" x14ac:dyDescent="0.25">
      <c r="A186" s="3"/>
      <c r="B186" s="2"/>
      <c r="C186" s="3"/>
      <c r="D186" s="12" t="s">
        <v>323</v>
      </c>
      <c r="E186" s="13" t="s">
        <v>5</v>
      </c>
      <c r="F186" s="14">
        <f>1*205452.1503</f>
        <v>205452.15030000001</v>
      </c>
    </row>
    <row r="187" spans="1:6" ht="45" x14ac:dyDescent="0.25">
      <c r="A187" s="3"/>
      <c r="B187" s="2"/>
      <c r="C187" s="3"/>
      <c r="D187" s="12" t="s">
        <v>324</v>
      </c>
      <c r="E187" s="13" t="s">
        <v>5</v>
      </c>
      <c r="F187" s="14">
        <f>1*25214.7</f>
        <v>25214.7</v>
      </c>
    </row>
    <row r="188" spans="1:6" x14ac:dyDescent="0.25">
      <c r="A188" s="3"/>
      <c r="B188" s="2"/>
      <c r="C188" s="3"/>
      <c r="D188" s="12" t="s">
        <v>325</v>
      </c>
      <c r="E188" s="13" t="s">
        <v>5</v>
      </c>
      <c r="F188" s="14">
        <f>1*1128.517</f>
        <v>1128.5170000000001</v>
      </c>
    </row>
    <row r="189" spans="1:6" ht="30" x14ac:dyDescent="0.25">
      <c r="A189" s="3"/>
      <c r="B189" s="2"/>
      <c r="C189" s="3"/>
      <c r="D189" s="12" t="s">
        <v>323</v>
      </c>
      <c r="E189" s="13" t="s">
        <v>5</v>
      </c>
      <c r="F189" s="14">
        <f>1*205452.15</f>
        <v>205452.15</v>
      </c>
    </row>
    <row r="190" spans="1:6" ht="45" x14ac:dyDescent="0.25">
      <c r="A190" s="3"/>
      <c r="B190" s="2"/>
      <c r="C190" s="3"/>
      <c r="D190" s="12" t="s">
        <v>324</v>
      </c>
      <c r="E190" s="13" t="s">
        <v>5</v>
      </c>
      <c r="F190" s="14">
        <f>1*25214.7</f>
        <v>25214.7</v>
      </c>
    </row>
    <row r="191" spans="1:6" x14ac:dyDescent="0.25">
      <c r="A191" s="3"/>
      <c r="B191" s="2"/>
      <c r="C191" s="3"/>
      <c r="D191" s="12" t="s">
        <v>325</v>
      </c>
      <c r="E191" s="13" t="s">
        <v>5</v>
      </c>
      <c r="F191" s="14">
        <f>1*1128.517</f>
        <v>1128.5170000000001</v>
      </c>
    </row>
    <row r="192" spans="1:6" ht="30" x14ac:dyDescent="0.25">
      <c r="A192" s="3"/>
      <c r="B192" s="2"/>
      <c r="C192" s="3"/>
      <c r="D192" s="12" t="s">
        <v>323</v>
      </c>
      <c r="E192" s="13" t="s">
        <v>5</v>
      </c>
      <c r="F192" s="14">
        <f>1*205452.15</f>
        <v>205452.15</v>
      </c>
    </row>
    <row r="193" spans="1:6" ht="45" x14ac:dyDescent="0.25">
      <c r="A193" s="3"/>
      <c r="B193" s="2"/>
      <c r="C193" s="3"/>
      <c r="D193" s="12" t="s">
        <v>324</v>
      </c>
      <c r="E193" s="13" t="s">
        <v>5</v>
      </c>
      <c r="F193" s="14">
        <f>1*25214.7033999999</f>
        <v>25214.7033999999</v>
      </c>
    </row>
    <row r="194" spans="1:6" x14ac:dyDescent="0.25">
      <c r="A194" s="8"/>
      <c r="B194" s="9"/>
      <c r="C194" s="8"/>
      <c r="D194" s="12" t="s">
        <v>325</v>
      </c>
      <c r="E194" s="13" t="s">
        <v>5</v>
      </c>
      <c r="F194" s="14">
        <f>1*1128.517</f>
        <v>1128.5170000000001</v>
      </c>
    </row>
    <row r="195" spans="1:6" ht="45" x14ac:dyDescent="0.25">
      <c r="A195" s="55">
        <v>45552</v>
      </c>
      <c r="B195" s="56" t="s">
        <v>326</v>
      </c>
      <c r="C195" s="56" t="s">
        <v>327</v>
      </c>
      <c r="D195" s="57" t="s">
        <v>328</v>
      </c>
      <c r="E195" s="58" t="s">
        <v>329</v>
      </c>
      <c r="F195" s="59">
        <f>2411389.58+482277.92</f>
        <v>2893667.5</v>
      </c>
    </row>
    <row r="196" spans="1:6" ht="45" x14ac:dyDescent="0.25">
      <c r="A196" s="55">
        <v>45552</v>
      </c>
      <c r="B196" s="56" t="s">
        <v>326</v>
      </c>
      <c r="C196" s="60" t="s">
        <v>330</v>
      </c>
      <c r="D196" s="57" t="s">
        <v>331</v>
      </c>
      <c r="E196" s="58" t="s">
        <v>329</v>
      </c>
      <c r="F196" s="61">
        <f>1*885875.94</f>
        <v>885875.94</v>
      </c>
    </row>
  </sheetData>
  <mergeCells count="83">
    <mergeCell ref="E177:E178"/>
    <mergeCell ref="F177:F178"/>
    <mergeCell ref="A180:A194"/>
    <mergeCell ref="B180:B194"/>
    <mergeCell ref="C180:C194"/>
    <mergeCell ref="A172:A175"/>
    <mergeCell ref="B172:B175"/>
    <mergeCell ref="C172:C175"/>
    <mergeCell ref="A177:A178"/>
    <mergeCell ref="B177:B178"/>
    <mergeCell ref="C177:C178"/>
    <mergeCell ref="A166:A167"/>
    <mergeCell ref="B166:B167"/>
    <mergeCell ref="C166:C167"/>
    <mergeCell ref="A170:A171"/>
    <mergeCell ref="B170:B171"/>
    <mergeCell ref="C170:C171"/>
    <mergeCell ref="A162:A163"/>
    <mergeCell ref="B162:B163"/>
    <mergeCell ref="C162:C163"/>
    <mergeCell ref="A164:A165"/>
    <mergeCell ref="B164:B165"/>
    <mergeCell ref="C164:C165"/>
    <mergeCell ref="A142:A143"/>
    <mergeCell ref="B142:B143"/>
    <mergeCell ref="C142:C143"/>
    <mergeCell ref="A148:A156"/>
    <mergeCell ref="B148:B156"/>
    <mergeCell ref="C148:C156"/>
    <mergeCell ref="A131:A133"/>
    <mergeCell ref="B131:B133"/>
    <mergeCell ref="C131:C133"/>
    <mergeCell ref="A135:A136"/>
    <mergeCell ref="B135:B136"/>
    <mergeCell ref="C135:C136"/>
    <mergeCell ref="A111:A112"/>
    <mergeCell ref="B111:B112"/>
    <mergeCell ref="C111:C112"/>
    <mergeCell ref="A113:A119"/>
    <mergeCell ref="B113:B119"/>
    <mergeCell ref="C113:C119"/>
    <mergeCell ref="A92:A106"/>
    <mergeCell ref="B92:B106"/>
    <mergeCell ref="C92:C106"/>
    <mergeCell ref="A107:A108"/>
    <mergeCell ref="B107:B108"/>
    <mergeCell ref="C107:C108"/>
    <mergeCell ref="A80:A86"/>
    <mergeCell ref="B80:B86"/>
    <mergeCell ref="C80:C86"/>
    <mergeCell ref="A87:A91"/>
    <mergeCell ref="B87:B91"/>
    <mergeCell ref="C87:C91"/>
    <mergeCell ref="A68:A74"/>
    <mergeCell ref="B68:B74"/>
    <mergeCell ref="C68:C74"/>
    <mergeCell ref="A77:A78"/>
    <mergeCell ref="B77:B78"/>
    <mergeCell ref="C77:C78"/>
    <mergeCell ref="A48:A50"/>
    <mergeCell ref="B48:B50"/>
    <mergeCell ref="C48:C50"/>
    <mergeCell ref="A55:A61"/>
    <mergeCell ref="B55:B61"/>
    <mergeCell ref="C55:C61"/>
    <mergeCell ref="A33:A37"/>
    <mergeCell ref="B33:B37"/>
    <mergeCell ref="C33:C37"/>
    <mergeCell ref="A38:A45"/>
    <mergeCell ref="B38:B45"/>
    <mergeCell ref="C38:C45"/>
    <mergeCell ref="A14:A16"/>
    <mergeCell ref="B14:B16"/>
    <mergeCell ref="C14:C16"/>
    <mergeCell ref="A17:A32"/>
    <mergeCell ref="B17:B32"/>
    <mergeCell ref="C17:C32"/>
    <mergeCell ref="A1:A3"/>
    <mergeCell ref="B1:B3"/>
    <mergeCell ref="C1:C3"/>
    <mergeCell ref="A4:A13"/>
    <mergeCell ref="B4:B13"/>
    <mergeCell ref="C4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2025-01-29T09:36:22Z</dcterms:created>
  <dcterms:modified xsi:type="dcterms:W3CDTF">2025-01-29T09:37:08Z</dcterms:modified>
</cp:coreProperties>
</file>